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uokko/Downloads/"/>
    </mc:Choice>
  </mc:AlternateContent>
  <xr:revisionPtr revIDLastSave="0" documentId="13_ncr:1_{662ABD07-21A8-204E-9DDC-A0BEFEB5F184}" xr6:coauthVersionLast="47" xr6:coauthVersionMax="47" xr10:uidLastSave="{00000000-0000-0000-0000-000000000000}"/>
  <bookViews>
    <workbookView xWindow="3420" yWindow="1260" windowWidth="28800" windowHeight="16300" xr2:uid="{00000000-000D-0000-FFFF-FFFF00000000}"/>
  </bookViews>
  <sheets>
    <sheet name="Front page, Instructions" sheetId="1" r:id="rId1"/>
    <sheet name="1 Idling" sheetId="5" r:id="rId2"/>
    <sheet name="2 Generators" sheetId="6" r:id="rId3"/>
    <sheet name="3 Flights" sheetId="3" r:id="rId4"/>
    <sheet name="4 Modes of transportation" sheetId="2" r:id="rId5"/>
    <sheet name="5 Driving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R8jxx4BISueNXDokcaNLO0BNE4WajE8p0ct4BPX1rXo="/>
    </ext>
  </extLst>
</workbook>
</file>

<file path=xl/calcChain.xml><?xml version="1.0" encoding="utf-8"?>
<calcChain xmlns="http://schemas.openxmlformats.org/spreadsheetml/2006/main">
  <c r="E15" i="3" l="1"/>
  <c r="D15" i="3"/>
  <c r="E12" i="3"/>
  <c r="D12" i="3"/>
  <c r="E26" i="2"/>
  <c r="D26" i="2"/>
  <c r="E23" i="2"/>
  <c r="D23" i="2"/>
  <c r="E14" i="3"/>
  <c r="D14" i="3"/>
  <c r="E11" i="3"/>
  <c r="D11" i="3"/>
  <c r="H26" i="7"/>
  <c r="H25" i="7"/>
  <c r="R22" i="7"/>
  <c r="P22" i="7"/>
  <c r="P23" i="7"/>
  <c r="P24" i="7"/>
  <c r="P27" i="7"/>
  <c r="I15" i="7" l="1"/>
  <c r="I14" i="7"/>
  <c r="I13" i="7"/>
  <c r="I12" i="7"/>
  <c r="I11" i="7"/>
  <c r="R28" i="7"/>
  <c r="F15" i="7" s="1"/>
  <c r="P28" i="7"/>
  <c r="E15" i="7" s="1"/>
  <c r="M28" i="7"/>
  <c r="J15" i="7" s="1"/>
  <c r="R27" i="7"/>
  <c r="F14" i="7" s="1"/>
  <c r="E14" i="7"/>
  <c r="M27" i="7"/>
  <c r="J14" i="7" s="1"/>
  <c r="E26" i="7"/>
  <c r="D26" i="7"/>
  <c r="L26" i="7"/>
  <c r="R26" i="7" s="1"/>
  <c r="E25" i="7"/>
  <c r="D25" i="7"/>
  <c r="L25" i="7"/>
  <c r="R25" i="7" s="1"/>
  <c r="R24" i="7"/>
  <c r="F13" i="7" s="1"/>
  <c r="E13" i="7"/>
  <c r="M24" i="7"/>
  <c r="J13" i="7" s="1"/>
  <c r="R23" i="7"/>
  <c r="F12" i="7" s="1"/>
  <c r="E12" i="7"/>
  <c r="M23" i="7"/>
  <c r="J12" i="7" s="1"/>
  <c r="F11" i="7"/>
  <c r="E11" i="7"/>
  <c r="M22" i="7"/>
  <c r="M25" i="7" s="1"/>
  <c r="P26" i="7" l="1"/>
  <c r="P25" i="7"/>
  <c r="M26" i="7"/>
  <c r="J11" i="7"/>
  <c r="J19" i="3"/>
  <c r="I19" i="3"/>
  <c r="D16" i="3" s="1"/>
  <c r="E13" i="3" l="1"/>
  <c r="E16" i="3"/>
  <c r="D13" i="3"/>
  <c r="J28" i="3"/>
  <c r="J29" i="3"/>
  <c r="I28" i="3"/>
  <c r="I29" i="3"/>
  <c r="D41" i="2"/>
  <c r="F11" i="2"/>
  <c r="J55" i="2"/>
  <c r="E11" i="2" l="1"/>
  <c r="I16" i="6" l="1"/>
  <c r="I19" i="6" s="1"/>
  <c r="H16" i="6"/>
  <c r="H19" i="6" s="1"/>
  <c r="H11" i="6"/>
  <c r="H17" i="6" s="1"/>
  <c r="H18" i="6" s="1"/>
  <c r="D10" i="6" l="1"/>
  <c r="I17" i="6"/>
  <c r="I18" i="6" s="1"/>
  <c r="D9" i="6" s="1"/>
  <c r="H41" i="2" l="1"/>
  <c r="F49" i="2" s="1"/>
  <c r="H14" i="5"/>
  <c r="D13" i="5" s="1"/>
  <c r="H9" i="5"/>
  <c r="I13" i="3"/>
  <c r="F55" i="2"/>
  <c r="E55" i="2"/>
  <c r="D55" i="2"/>
  <c r="D11" i="2"/>
  <c r="H43" i="2"/>
  <c r="G24" i="2" l="1"/>
  <c r="G27" i="2"/>
  <c r="F24" i="2"/>
  <c r="F27" i="2"/>
  <c r="D27" i="2"/>
  <c r="D25" i="2"/>
  <c r="D24" i="2"/>
  <c r="D22" i="2"/>
  <c r="E24" i="2"/>
  <c r="E27" i="2"/>
  <c r="E25" i="2"/>
  <c r="E22" i="2"/>
  <c r="F26" i="2"/>
  <c r="F23" i="2"/>
  <c r="F25" i="2"/>
  <c r="F22" i="2"/>
  <c r="D21" i="3"/>
  <c r="E21" i="3"/>
  <c r="I27" i="3"/>
  <c r="J27" i="3"/>
  <c r="F60" i="2"/>
  <c r="E60" i="2"/>
  <c r="D60" i="2"/>
  <c r="J23" i="3"/>
  <c r="I23" i="3"/>
  <c r="D50" i="2"/>
  <c r="E50" i="2"/>
  <c r="F50" i="2"/>
  <c r="E12" i="2"/>
  <c r="D45" i="2"/>
  <c r="G49" i="2" s="1"/>
  <c r="G26" i="2" s="1"/>
  <c r="D14" i="5"/>
  <c r="D8" i="5"/>
  <c r="D7" i="5"/>
  <c r="F12" i="2"/>
  <c r="I23" i="6"/>
  <c r="E59" i="2"/>
  <c r="F59" i="2"/>
  <c r="D59" i="2"/>
  <c r="D61" i="2"/>
  <c r="E61" i="2"/>
  <c r="F61" i="2"/>
  <c r="I24" i="6"/>
  <c r="H24" i="6"/>
  <c r="D12" i="2"/>
  <c r="G22" i="2" l="1"/>
  <c r="G23" i="2"/>
  <c r="G25" i="2"/>
  <c r="D9" i="3"/>
  <c r="E9" i="3"/>
  <c r="F17" i="2"/>
  <c r="G50" i="2"/>
  <c r="G17" i="2" s="1"/>
  <c r="D16" i="6"/>
  <c r="G11" i="2"/>
  <c r="G12" i="2"/>
  <c r="D17" i="2"/>
  <c r="E17" i="2"/>
  <c r="H23" i="6"/>
  <c r="D1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B43" authorId="0" shapeId="0" xr:uid="{4036ACD1-4E1B-3948-8B43-CD44F1E81EAB}">
      <text>
        <r>
          <rPr>
            <sz val="10"/>
            <color rgb="FF000000"/>
            <rFont val="Aptos Narrow"/>
            <family val="34"/>
          </rPr>
          <t xml:space="preserve">Calculated with these figures:
</t>
        </r>
        <r>
          <rPr>
            <sz val="10"/>
            <color rgb="FF000000"/>
            <rFont val="Aptos Narrow"/>
            <family val="34"/>
          </rPr>
          <t>CO₂ -emissions 65,10 t/TJ, energy content 34,3 MJ/l</t>
        </r>
      </text>
    </comment>
    <comment ref="B44" authorId="0" shapeId="0" xr:uid="{D56978E3-0334-CE4E-981C-3D5B8BA50655}">
      <text>
        <r>
          <rPr>
            <sz val="10"/>
            <color rgb="FF000000"/>
            <rFont val="Aptos Narrow"/>
            <family val="34"/>
          </rPr>
          <t xml:space="preserve">Calculated with these figures:
</t>
        </r>
        <r>
          <rPr>
            <sz val="10"/>
            <color rgb="FF000000"/>
            <rFont val="Aptos Narrow"/>
            <family val="34"/>
          </rPr>
          <t>CO₂ -emissions 61,60 t/TJ, energy content 35,86 MJ/l</t>
        </r>
      </text>
    </comment>
    <comment ref="B45" authorId="0" shapeId="0" xr:uid="{DB3A93D7-A336-E04F-B3B6-9B2E2BC8081B}">
      <text>
        <r>
          <rPr>
            <sz val="10"/>
            <color rgb="FF000000"/>
            <rFont val="Aptos Narrow"/>
            <family val="34"/>
          </rPr>
          <t xml:space="preserve">Calculated with these figures:
</t>
        </r>
        <r>
          <rPr>
            <sz val="10"/>
            <color rgb="FF000000"/>
            <rFont val="Aptos Narrow"/>
            <family val="34"/>
          </rPr>
          <t>CO₂ -emissions 65,10 t/TJ, energy content 32 MJ/l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K8" authorId="0" shapeId="0" xr:uid="{AE3406E1-1E82-A844-B0AA-8D9EC2853536}">
      <text>
        <r>
          <rPr>
            <sz val="10"/>
            <color rgb="FF000000"/>
            <rFont val="Aptos Narrow"/>
            <family val="34"/>
          </rPr>
          <t>Defined on the front page and in the E€-source material</t>
        </r>
      </text>
    </comment>
    <comment ref="G9" authorId="0" shapeId="0" xr:uid="{819E8C59-65D4-804F-95E5-26BA5A0446EE}">
      <text>
        <r>
          <rPr>
            <sz val="10"/>
            <color rgb="FF000000"/>
            <rFont val="Aptos Narrow"/>
            <family val="34"/>
          </rPr>
          <t>This is an example. The range for this figure is 15%–40%.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K10" authorId="0" shapeId="0" xr:uid="{E1730BC6-CB53-9D4C-B515-BEA6E591B5CE}">
      <text>
        <r>
          <rPr>
            <sz val="10"/>
            <color rgb="FF000000"/>
            <rFont val="Aptos Narrow"/>
            <family val="34"/>
          </rPr>
          <t>Defined on the front page and in the E€-source material</t>
        </r>
      </text>
    </comment>
    <comment ref="G15" authorId="0" shapeId="0" xr:uid="{48A7C245-60BE-D54E-B860-CF07925FAC0C}">
      <text>
        <r>
          <rPr>
            <sz val="10"/>
            <color rgb="FF000000"/>
            <rFont val="Aptos Narrow"/>
            <family val="34"/>
          </rPr>
          <t>Fill two different times and compare the results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K10" authorId="0" shapeId="0" xr:uid="{DB4D0ED7-E631-B641-8214-FD8A6C4CF010}">
      <text>
        <r>
          <rPr>
            <sz val="10"/>
            <color rgb="FF000000"/>
            <rFont val="Aptos Narrow"/>
            <family val="34"/>
          </rPr>
          <t>Defined on the front page and in the E€-source material</t>
        </r>
      </text>
    </comment>
    <comment ref="H18" authorId="0" shapeId="0" xr:uid="{0237090F-2714-BB4D-BD7B-0EBB2ED00F71}">
      <text>
        <r>
          <rPr>
            <sz val="10"/>
            <color rgb="FF000000"/>
            <rFont val="Aptos Narrow"/>
            <family val="34"/>
          </rPr>
          <t>E,g. waiting time before departure</t>
        </r>
      </text>
    </comment>
    <comment ref="H31" authorId="0" shapeId="0" xr:uid="{C532DA51-4591-2C41-A468-C68C58522BE3}">
      <text>
        <r>
          <rPr>
            <sz val="10"/>
            <color rgb="FF000000"/>
            <rFont val="Aptos Narrow"/>
            <family val="34"/>
          </rPr>
          <t>Calculate flight emissions according to the front page.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G10" authorId="0" shapeId="0" xr:uid="{A2DBD7A0-3EA1-AE42-8E46-B6509DBD6E9B}">
      <text>
        <r>
          <rPr>
            <sz val="10"/>
            <color rgb="FF000000"/>
            <rFont val="Aptos Narrow"/>
            <family val="34"/>
          </rPr>
          <t>heavy consumption, +10%</t>
        </r>
      </text>
    </comment>
    <comment ref="G16" authorId="0" shapeId="0" xr:uid="{8E5C533D-48EB-CD46-8F61-F59EBC28D81D}">
      <text>
        <r>
          <rPr>
            <sz val="10"/>
            <color rgb="FF000000"/>
            <rFont val="Aptos Narrow"/>
            <family val="34"/>
          </rPr>
          <t>heavy consumption, +10%</t>
        </r>
      </text>
    </comment>
    <comment ref="G21" authorId="0" shapeId="0" xr:uid="{0D21D966-BDD4-A54B-8A52-D845D738EE02}">
      <text>
        <r>
          <rPr>
            <sz val="10"/>
            <color rgb="FF000000"/>
            <rFont val="Aptos Narrow"/>
            <family val="34"/>
          </rPr>
          <t>heavy consumption, +10%</t>
        </r>
      </text>
    </comment>
    <comment ref="I35" authorId="0" shapeId="0" xr:uid="{A17794E4-E28E-C243-B065-44E0FFF61DC5}">
      <text>
        <r>
          <rPr>
            <sz val="10"/>
            <color rgb="FF000000"/>
            <rFont val="+mn-lt"/>
            <charset val="1"/>
          </rPr>
          <t xml:space="preserve">pkm = passenger-kilometer
</t>
        </r>
      </text>
    </comment>
    <comment ref="K37" authorId="0" shapeId="0" xr:uid="{38E9F638-9DED-6A49-9D08-4A8AC514390E}">
      <text>
        <r>
          <rPr>
            <sz val="10"/>
            <color rgb="FF000000"/>
            <rFont val="Aptos Narrow"/>
            <family val="34"/>
          </rPr>
          <t>Defined on the front page and in the E€-source material</t>
        </r>
      </text>
    </comment>
    <comment ref="G48" authorId="0" shapeId="0" xr:uid="{D2FFF0E6-7615-464C-9A06-43D5F3D94297}">
      <text>
        <r>
          <rPr>
            <sz val="10"/>
            <color rgb="FF000000"/>
            <rFont val="+mn-lt"/>
            <charset val="1"/>
          </rPr>
          <t xml:space="preserve">heavy consumption, +10%
</t>
        </r>
      </text>
    </comment>
    <comment ref="J55" authorId="0" shapeId="0" xr:uid="{23959317-1D13-E64F-B871-468D8EC114B3}">
      <text>
        <r>
          <rPr>
            <sz val="10"/>
            <color rgb="FF000000"/>
            <rFont val="Aptos Narrow"/>
            <family val="34"/>
          </rPr>
          <t>fill this result into "total duration of travel time"</t>
        </r>
      </text>
    </comment>
    <comment ref="C58" authorId="0" shapeId="0" xr:uid="{B5EC3CB6-B4C0-3F40-B5A2-80C0CF0CD3D7}">
      <text>
        <r>
          <rPr>
            <sz val="10"/>
            <color rgb="FF000000"/>
            <rFont val="Aptos Narrow"/>
            <family val="34"/>
          </rPr>
          <t>check vero.fi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Alina Huldén</author>
  </authors>
  <commentList>
    <comment ref="M13" authorId="0" shapeId="0" xr:uid="{4212AB8E-2AB3-4246-B33A-137FD05AF7BE}">
      <text>
        <r>
          <rPr>
            <sz val="10"/>
            <color rgb="FF000000"/>
            <rFont val="Aptos Narrow"/>
            <family val="34"/>
          </rPr>
          <t>Defined on the front page and in the E€-source material</t>
        </r>
      </text>
    </comment>
    <comment ref="L22" authorId="0" shapeId="0" xr:uid="{D501A4B6-52CE-F04B-930B-1F87D3D07207}">
      <text>
        <r>
          <rPr>
            <sz val="10"/>
            <color rgb="FF000000"/>
            <rFont val="+mj-lt"/>
            <charset val="1"/>
          </rPr>
          <t>The original emission figure of 0.112 is calculated from a reference consumption of 5.3 l/100km. By changing the reference consumption, the emissions are not updated.</t>
        </r>
      </text>
    </comment>
    <comment ref="L23" authorId="0" shapeId="0" xr:uid="{BF155EA7-971A-1B42-B81A-A6B04772DBC9}">
      <text>
        <r>
          <rPr>
            <sz val="10"/>
            <color rgb="FF000000"/>
            <rFont val="Aptos Narrow"/>
            <family val="34"/>
          </rPr>
          <t>The original emission figure of 0.131 is calculated from a reference consumption of 5.3 l/100km. By changing the reference consumption, the emissions are not updated.</t>
        </r>
      </text>
    </comment>
  </commentList>
</comments>
</file>

<file path=xl/sharedStrings.xml><?xml version="1.0" encoding="utf-8"?>
<sst xmlns="http://schemas.openxmlformats.org/spreadsheetml/2006/main" count="432" uniqueCount="232">
  <si>
    <t>l/100km</t>
  </si>
  <si>
    <t>€/l</t>
  </si>
  <si>
    <t>km</t>
  </si>
  <si>
    <t>kWh/100km</t>
  </si>
  <si>
    <t>kg/100km</t>
  </si>
  <si>
    <t>€/kWh</t>
  </si>
  <si>
    <t>€/kg</t>
  </si>
  <si>
    <t>-</t>
  </si>
  <si>
    <t>diesel</t>
  </si>
  <si>
    <t>€</t>
  </si>
  <si>
    <t>per l/kWh/kg</t>
  </si>
  <si>
    <t>Atmosfair</t>
  </si>
  <si>
    <t>Lentolaskuri</t>
  </si>
  <si>
    <t>ICAO</t>
  </si>
  <si>
    <t>stat.fi/tup/khkinv/khkaasut_polttoaineluokitus.html</t>
  </si>
  <si>
    <t>h</t>
  </si>
  <si>
    <t>kgCO₂e/l</t>
  </si>
  <si>
    <t>kgCO₂e</t>
  </si>
  <si>
    <t>l/h</t>
  </si>
  <si>
    <t>€/h</t>
  </si>
  <si>
    <t>l</t>
  </si>
  <si>
    <t>kgCO₂e/km</t>
  </si>
  <si>
    <t>hh:mm</t>
  </si>
  <si>
    <t>€/crew</t>
  </si>
  <si>
    <t>crew A</t>
  </si>
  <si>
    <t>crew B</t>
  </si>
  <si>
    <t>kgCO₂</t>
  </si>
  <si>
    <t>ilmastopaneeli.fi/autokalkulaattori</t>
  </si>
  <si>
    <t>EKOSETTI EUROISSA - EXCEL</t>
  </si>
  <si>
    <t>Alkaa solulla C1</t>
  </si>
  <si>
    <t>per km/kWh</t>
  </si>
  <si>
    <t>Alkaa solulla B1</t>
  </si>
  <si>
    <t>Laskelmiin liittyvien solujen selitykset soluilla C12:D15</t>
  </si>
  <si>
    <t>2,21 kgCO₂e/l - diesel</t>
  </si>
  <si>
    <t>Helsinki - Tukholma, 831 km</t>
  </si>
  <si>
    <t>CAR IDLING</t>
  </si>
  <si>
    <t>Calculate the costs of idling with a car.</t>
  </si>
  <si>
    <t>SUMMARY</t>
  </si>
  <si>
    <t>idling emissions</t>
  </si>
  <si>
    <t>… during winter/while using A/C</t>
  </si>
  <si>
    <t>idling costs</t>
  </si>
  <si>
    <t>Fill in:</t>
  </si>
  <si>
    <t>emissions per litre of fuel</t>
  </si>
  <si>
    <t>fuel price</t>
  </si>
  <si>
    <t>fuel consumption per hour of idling</t>
  </si>
  <si>
    <t>… during winter/while using A/C (+30 %)</t>
  </si>
  <si>
    <t>Estimate the duration of idle time for the whole filming period</t>
  </si>
  <si>
    <t>idling per day</t>
  </si>
  <si>
    <t>number of days</t>
  </si>
  <si>
    <t>total idle time</t>
  </si>
  <si>
    <t>days</t>
  </si>
  <si>
    <t>Passenger car, medium size, gasoline</t>
  </si>
  <si>
    <t>DIESEL-GENERATOR</t>
  </si>
  <si>
    <t>Calculate the generator's fuel consumption and emissions.</t>
  </si>
  <si>
    <t xml:space="preserve">Compare the differences in emissions and price between two different operating periods. </t>
  </si>
  <si>
    <t>The calculations do not take the rental cost of the generator into account.</t>
  </si>
  <si>
    <t>Begins in cell C1</t>
  </si>
  <si>
    <t>Results: savings for the whole filming period</t>
  </si>
  <si>
    <t>… in euros</t>
  </si>
  <si>
    <t>… in emissions</t>
  </si>
  <si>
    <t>Results: savings in a day</t>
  </si>
  <si>
    <t>Diesel-generator</t>
  </si>
  <si>
    <t>price of fuel</t>
  </si>
  <si>
    <t>generator fuel consumption per hour</t>
  </si>
  <si>
    <t>cost per hour of generator usage</t>
  </si>
  <si>
    <t>Comparison between two operating periods</t>
  </si>
  <si>
    <t>generator usage time in a day</t>
  </si>
  <si>
    <t>generator fuel consumption in litres</t>
  </si>
  <si>
    <t>generator fuel consumption cost</t>
  </si>
  <si>
    <t>total cost per day
(fuel + operating hours)</t>
  </si>
  <si>
    <t>emissions in a day</t>
  </si>
  <si>
    <t>The whole filming period</t>
  </si>
  <si>
    <t>rental period of generator</t>
  </si>
  <si>
    <t>cost of usage</t>
  </si>
  <si>
    <t>emissions for the whole filming period</t>
  </si>
  <si>
    <t>DIRECT AND STOPOVER FLIGHTS</t>
  </si>
  <si>
    <t>Calculate the emissions and total cost of flying per person or crew.</t>
  </si>
  <si>
    <t>Compare the difference between a direct and a stopover flight.</t>
  </si>
  <si>
    <t>The trip can be round-trip or one-way, as long as it's consistent.</t>
  </si>
  <si>
    <t>Comparison: total costs</t>
  </si>
  <si>
    <t>Direct flight</t>
  </si>
  <si>
    <t>Stopover flight</t>
  </si>
  <si>
    <t>Crew A: Cost per person</t>
  </si>
  <si>
    <t>travel costs</t>
  </si>
  <si>
    <t>personnel costs</t>
  </si>
  <si>
    <t>Crew B: Cost per person</t>
  </si>
  <si>
    <t>Total crew costs</t>
  </si>
  <si>
    <t>Total crew emissions</t>
  </si>
  <si>
    <t>Fill in passenger details</t>
  </si>
  <si>
    <t>crew A: costs per hour</t>
  </si>
  <si>
    <t>crew B: costs per hour</t>
  </si>
  <si>
    <t>pers.</t>
  </si>
  <si>
    <t>Flight duration</t>
  </si>
  <si>
    <t>departure time</t>
  </si>
  <si>
    <t>arrival time</t>
  </si>
  <si>
    <t>total travel time</t>
  </si>
  <si>
    <t>Flight ticket price</t>
  </si>
  <si>
    <t>price per person</t>
  </si>
  <si>
    <t>price for crew</t>
  </si>
  <si>
    <t>Personnel costs</t>
  </si>
  <si>
    <t>Emissions</t>
  </si>
  <si>
    <t>flight emissions per person</t>
  </si>
  <si>
    <t>kgCO₂e/pers.</t>
  </si>
  <si>
    <t>DIFFERENT MODES OF TRANSPORTATION</t>
  </si>
  <si>
    <t>Calculate and compare the costs and emissions of a trip between three different modes of transport.</t>
  </si>
  <si>
    <t>The calculations do not take the car rental costs into account.</t>
  </si>
  <si>
    <t>The comparison includes: emissions, travel time, commuting time, cost per trip and crew size.</t>
  </si>
  <si>
    <t>Comparison: total emissions between the different modes of transportation</t>
  </si>
  <si>
    <t>Comparison: costs per person</t>
  </si>
  <si>
    <t>Emissions per person</t>
  </si>
  <si>
    <t>personnel costs for travel time</t>
  </si>
  <si>
    <t>Train</t>
  </si>
  <si>
    <t>Flight</t>
  </si>
  <si>
    <t>Cas
(1 pers/car, gasoline)</t>
  </si>
  <si>
    <t>Car
(ride share, gasoline)</t>
  </si>
  <si>
    <t>Fill in below:</t>
  </si>
  <si>
    <t>Fill in trip details</t>
  </si>
  <si>
    <t>trip distance</t>
  </si>
  <si>
    <t>pcs</t>
  </si>
  <si>
    <t>total crew size</t>
  </si>
  <si>
    <t>Ride sharing (Column G)</t>
  </si>
  <si>
    <t>persons per car</t>
  </si>
  <si>
    <t>number of cars needed</t>
  </si>
  <si>
    <t>Emissions of transportation modes</t>
  </si>
  <si>
    <t>train emissions per passenger</t>
  </si>
  <si>
    <t>1 passenger car emissions (gasoline)</t>
  </si>
  <si>
    <t>1 passenger car emissions (diesel)</t>
  </si>
  <si>
    <t>kgCO₂e/pkm</t>
  </si>
  <si>
    <t>Fuel consumption of car</t>
  </si>
  <si>
    <t>fuel price (alv 25,5 %)</t>
  </si>
  <si>
    <t>polttoaineen hinta (VAT 0 %)</t>
  </si>
  <si>
    <t>car fuel consumption, average</t>
  </si>
  <si>
    <t>car fuel consumption, heavy (+10 %)</t>
  </si>
  <si>
    <t>Calculate flight emissions according to front page instructions</t>
  </si>
  <si>
    <t>flight emissions</t>
  </si>
  <si>
    <t>Price of transportation modes</t>
  </si>
  <si>
    <t>train ticket</t>
  </si>
  <si>
    <t>flight ticket</t>
  </si>
  <si>
    <t>car
(1 pers./car, gasoline)</t>
  </si>
  <si>
    <t>car
(ride share, gasoline)</t>
  </si>
  <si>
    <t>€/pers.</t>
  </si>
  <si>
    <t>crew total</t>
  </si>
  <si>
    <t>Estimate total travel time of trip</t>
  </si>
  <si>
    <t>duration of travel</t>
  </si>
  <si>
    <t>breaks/waiting</t>
  </si>
  <si>
    <t>total duration of travel time</t>
  </si>
  <si>
    <t>train</t>
  </si>
  <si>
    <t>flight</t>
  </si>
  <si>
    <t>car</t>
  </si>
  <si>
    <t>Alternatively, calculate the duration of travel time with this calculator</t>
  </si>
  <si>
    <t>duration of travel time</t>
  </si>
  <si>
    <t>What is "E€E"?</t>
  </si>
  <si>
    <t>The Ekosetti in Euros -excel (E€E) is a supplementary tool for the publication ”Ekosetti euroissa” (E€). It allows users to test some of E€'s calculations with their own numbers to tailor them to their production needs. Please note that all E€E calculations are indicative and meant only to help understand different themes.</t>
  </si>
  <si>
    <r>
      <t xml:space="preserve">E€E includes the following categories:
1. Idling </t>
    </r>
    <r>
      <rPr>
        <sz val="12"/>
        <color theme="1"/>
        <rFont val="Aptos Narrow"/>
        <scheme val="minor"/>
      </rPr>
      <t>– Calculate the costs and emissions of vehicle idling</t>
    </r>
    <r>
      <rPr>
        <b/>
        <sz val="12"/>
        <color theme="1"/>
        <rFont val="Aptos Narrow"/>
        <scheme val="minor"/>
      </rPr>
      <t xml:space="preserve">
2. Generators </t>
    </r>
    <r>
      <rPr>
        <sz val="12"/>
        <color theme="1"/>
        <rFont val="Aptos Narrow"/>
        <scheme val="minor"/>
      </rPr>
      <t>– Compare the costs and emissions of diesel generators at two different usage durations</t>
    </r>
    <r>
      <rPr>
        <b/>
        <sz val="12"/>
        <color theme="1"/>
        <rFont val="Aptos Narrow"/>
        <scheme val="minor"/>
      </rPr>
      <t xml:space="preserve">
3. Flights</t>
    </r>
    <r>
      <rPr>
        <sz val="12"/>
        <color theme="1"/>
        <rFont val="Aptos Narrow"/>
        <scheme val="minor"/>
      </rPr>
      <t xml:space="preserve"> – Compare costs and emissions of direct and connecting flights</t>
    </r>
    <r>
      <rPr>
        <b/>
        <sz val="12"/>
        <color theme="1"/>
        <rFont val="Aptos Narrow"/>
        <scheme val="minor"/>
      </rPr>
      <t xml:space="preserve">
4.  Different modes of transport </t>
    </r>
    <r>
      <rPr>
        <sz val="12"/>
        <color theme="1"/>
        <rFont val="Aptos Narrow"/>
        <scheme val="minor"/>
      </rPr>
      <t xml:space="preserve">– Compare costs and emissions of flights, rail travel, and driving
</t>
    </r>
    <r>
      <rPr>
        <b/>
        <sz val="12"/>
        <color theme="1"/>
        <rFont val="Aptos Narrow"/>
        <scheme val="minor"/>
      </rPr>
      <t>5. Driving</t>
    </r>
    <r>
      <rPr>
        <sz val="12"/>
        <color theme="1"/>
        <rFont val="Aptos Narrow"/>
        <scheme val="minor"/>
      </rPr>
      <t xml:space="preserve"> – Compare costs and emissions of different vehicle fuel types</t>
    </r>
  </si>
  <si>
    <t>General Instructions</t>
  </si>
  <si>
    <t>Each table includes a brief explanation of the calculations. First, you’ll find a summary of comparisons/results, right next to fields where you can input your own data. A red triangle in a cell's corner indicates additional information. Some cells are pre-filled, while others are locked. To unlock all cells for editing, right-click the lock icon on the sheet tab and select “unprotect sheet”.</t>
  </si>
  <si>
    <t>Dashed border around a light green cell = freely editable cell</t>
  </si>
  <si>
    <t>Solid border around a dark green cell = data adjusts based on your input</t>
  </si>
  <si>
    <t>Solid border around a white cell with a red triangle = reference figure with additional information</t>
  </si>
  <si>
    <r>
      <rPr>
        <b/>
        <sz val="12"/>
        <color theme="1"/>
        <rFont val="Aptos Narrow"/>
        <scheme val="minor"/>
      </rPr>
      <t xml:space="preserve">Crew costs </t>
    </r>
    <r>
      <rPr>
        <sz val="12"/>
        <color theme="1"/>
        <rFont val="Aptos Narrow"/>
        <scheme val="minor"/>
      </rPr>
      <t>cover both travel time expenses and per diems. You can define crew costs (A, B) and size yourself.</t>
    </r>
  </si>
  <si>
    <t>The number of per diems is calculated according to the guidelines of the Finnish Tax Administration:</t>
  </si>
  <si>
    <t>Tax-exempt allowances in Finland in 2025:</t>
  </si>
  <si>
    <t>Emission Sources</t>
  </si>
  <si>
    <t>You can use any emission factors and data in your calculations, but here are some helpful references. Depending on the source, emissions may be in carbon dioxide (CO₂) or carbon dioxide equivalent (CO₂e).</t>
  </si>
  <si>
    <t>Comprehensive emission factor database, also covering areas beyond themes in E€:</t>
  </si>
  <si>
    <t>openco2.net/en</t>
  </si>
  <si>
    <t>Compare emissions and costs of different vehicle fuel types (in Finnish):</t>
  </si>
  <si>
    <t>Latest fuel classifications for cars are available on the Statistics Finnish website (in Finnish):</t>
  </si>
  <si>
    <t>The Carbon Calculator by VR (Finnish Railways) enables comparing emissions between trains, flights, and cars:</t>
  </si>
  <si>
    <t>vr.fi/en/vinkkeja-junamatkailuun/uusilla-raiteilla/environment</t>
  </si>
  <si>
    <t>The calculations use the following figures as a reference (Sources: VR, OpenCO2.net, and Statistics Finland in 2024):</t>
  </si>
  <si>
    <t>0.0012 kgCO₂e/pkm - train (passenger kilometer)</t>
  </si>
  <si>
    <t>0.112 kgCO₂e/km - passenger car emission, gasoline</t>
  </si>
  <si>
    <t>0.131 kgCO₂e/km - passenger car, diesel</t>
  </si>
  <si>
    <t>2,23 kgCO₂e/l - renewable diesel</t>
  </si>
  <si>
    <t>2,08 kgCO₂e/l - gasoline</t>
  </si>
  <si>
    <t>Vehicle Consumption &amp; Emissions</t>
  </si>
  <si>
    <t>If a car carries cargo or multiple passengers, emissions increase by 10%. Idling calculations include extra fuel consumption for air conditioning or winter heating +30 %.</t>
  </si>
  <si>
    <t>Electric vehicles: in 2024, the average emission factor for electricity consumption in Finland was 0.033 kgCO₂e/kWh.</t>
  </si>
  <si>
    <t>fingrid.fi/en/electricity-market-information/real-time-co2-emissions-estimate</t>
  </si>
  <si>
    <t>Flight Emissions</t>
  </si>
  <si>
    <t>Below are three tools for flight emission calculations. The “Ekosetti Euroissa” publication uses figures from Atmosfair. Flight emission estimates vary significantly between calculators: some account only for fuel-related CO₂ emissions, while others include broader climate effects. As shown in the examples, results should be considered indicative.</t>
  </si>
  <si>
    <t>Examples of round trips:</t>
  </si>
  <si>
    <t>Helsinki - Phuket, 16,619 km</t>
  </si>
  <si>
    <t>Helsinki - Berliini, 2,314 km</t>
  </si>
  <si>
    <t>Helsinki - Kittilä, 1,694 km</t>
  </si>
  <si>
    <t>Freely editable</t>
  </si>
  <si>
    <t>Result</t>
  </si>
  <si>
    <t>Reference figure</t>
  </si>
  <si>
    <t>tax-exempt allowance</t>
  </si>
  <si>
    <t>per diems</t>
  </si>
  <si>
    <t>total crew A costs</t>
  </si>
  <si>
    <t>total crew B costs</t>
  </si>
  <si>
    <t>Travel time personnel costs</t>
  </si>
  <si>
    <t>total crew per diem allowance</t>
  </si>
  <si>
    <t>Calculate and compare the costs and emissions of different fuel types for 100 km.</t>
  </si>
  <si>
    <t>Own comparison: the cost of driving</t>
  </si>
  <si>
    <t>Use your own figures and compare costs and emissions.</t>
  </si>
  <si>
    <t>Comparison by distance</t>
  </si>
  <si>
    <t>Comparison by fuel purchase</t>
  </si>
  <si>
    <t>gasoline</t>
  </si>
  <si>
    <t>electric</t>
  </si>
  <si>
    <t>natural gas</t>
  </si>
  <si>
    <t>biogas</t>
  </si>
  <si>
    <t>driven km</t>
  </si>
  <si>
    <t>price (€)</t>
  </si>
  <si>
    <t>total emissions (kgCO₂)</t>
  </si>
  <si>
    <t>For a hybrid car, fill in the data for two different fuel types, e.g. 70 km electric and 30 km diesel.</t>
  </si>
  <si>
    <t>purchase (l/kwh/kg)</t>
  </si>
  <si>
    <t>Costs and emissions of different fuel types</t>
  </si>
  <si>
    <t>hybrid (50 % gasoline)</t>
  </si>
  <si>
    <t>hybrid (50 % diesel)</t>
  </si>
  <si>
    <t>Reference consumption</t>
  </si>
  <si>
    <t>Average price</t>
  </si>
  <si>
    <t>Emissions (kgCO₂)</t>
  </si>
  <si>
    <t>Comparison: costs and emissions for 100 km</t>
  </si>
  <si>
    <t>costs (/100km)</t>
  </si>
  <si>
    <t>emissions (/100km)</t>
  </si>
  <si>
    <t>DRIVING, FUEL TYPE COMPARISON</t>
  </si>
  <si>
    <t>Cell explanations:</t>
  </si>
  <si>
    <t>Explanations of calculation cells:</t>
  </si>
  <si>
    <t>Results: emissions for the whole period</t>
  </si>
  <si>
    <t>Results: costs for the whole period</t>
  </si>
  <si>
    <t>additional cost per hour of usage</t>
  </si>
  <si>
    <t>Car travel options can be compared with either one passenger or ride sharing with preffered amount of passengers.</t>
  </si>
  <si>
    <t>www.apfi.fi/en</t>
  </si>
  <si>
    <t>www.avaus.apfi.fi/en</t>
  </si>
  <si>
    <t>www.ekosetti.fi/en</t>
  </si>
  <si>
    <t>flight departure time</t>
  </si>
  <si>
    <t>flight arrival time</t>
  </si>
  <si>
    <t>other travel time</t>
  </si>
  <si>
    <t>vero.fi/en/detailed-guidance/decisions/47405/tax-exempt-allowances-in-2025-for-business-travel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</si>
</sst>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&quot;€&quot;"/>
    <numFmt numFmtId="167" formatCode="0.000"/>
    <numFmt numFmtId="168" formatCode="hh:mm;@"/>
    <numFmt numFmtId="169" formatCode="0.0000"/>
  </numFmts>
  <fonts count="58">
    <font>
      <sz val="12"/>
      <color theme="1"/>
      <name val="Aptos Narrow"/>
      <scheme val="minor"/>
    </font>
    <font>
      <u/>
      <sz val="12"/>
      <color rgb="FF0000FF"/>
      <name val="Calibri"/>
      <family val="2"/>
    </font>
    <font>
      <sz val="12"/>
      <color theme="1"/>
      <name val="Aptos Narrow"/>
      <scheme val="minor"/>
    </font>
    <font>
      <u/>
      <sz val="12"/>
      <color rgb="FF0000FF"/>
      <name val="Aptos Narrow"/>
    </font>
    <font>
      <i/>
      <sz val="12"/>
      <color rgb="FFFF0000"/>
      <name val="Calibri"/>
      <family val="2"/>
    </font>
    <font>
      <u/>
      <sz val="12"/>
      <color theme="1"/>
      <name val="Calibri"/>
      <family val="2"/>
    </font>
    <font>
      <u/>
      <sz val="11"/>
      <color rgb="FF0000FF"/>
      <name val="Arial"/>
      <family val="2"/>
    </font>
    <font>
      <sz val="12"/>
      <color theme="1"/>
      <name val="Aptos Narrow"/>
    </font>
    <font>
      <b/>
      <sz val="12"/>
      <color theme="1"/>
      <name val="Aptos Narrow"/>
    </font>
    <font>
      <i/>
      <sz val="12"/>
      <color rgb="FFFF0000"/>
      <name val="Aptos Narrow"/>
    </font>
    <font>
      <i/>
      <sz val="12"/>
      <color theme="1"/>
      <name val="Aptos Narrow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2"/>
      <name val="Aptos Narrow"/>
    </font>
    <font>
      <sz val="12"/>
      <color rgb="FFFF0000"/>
      <name val="Aptos Narrow"/>
      <scheme val="minor"/>
    </font>
    <font>
      <u/>
      <sz val="12"/>
      <color theme="10"/>
      <name val="Aptos Narrow"/>
      <scheme val="minor"/>
    </font>
    <font>
      <i/>
      <sz val="12"/>
      <color rgb="FFFF0000"/>
      <name val="Aptos Narrow"/>
      <scheme val="minor"/>
    </font>
    <font>
      <sz val="12"/>
      <name val="Aptos Narrow"/>
      <scheme val="minor"/>
    </font>
    <font>
      <b/>
      <sz val="18"/>
      <color rgb="FF3F6351"/>
      <name val="Aptos Narrow"/>
      <scheme val="minor"/>
    </font>
    <font>
      <b/>
      <sz val="12"/>
      <color rgb="FF3F6351"/>
      <name val="Aptos Narrow"/>
      <scheme val="minor"/>
    </font>
    <font>
      <sz val="12"/>
      <color rgb="FF3F6351"/>
      <name val="Aptos Narrow"/>
      <scheme val="minor"/>
    </font>
    <font>
      <b/>
      <sz val="16"/>
      <color rgb="FF3F6351"/>
      <name val="Aptos Narrow"/>
      <scheme val="minor"/>
    </font>
    <font>
      <sz val="10"/>
      <color rgb="FF000000"/>
      <name val="Aptos Narrow"/>
      <family val="34"/>
    </font>
    <font>
      <b/>
      <i/>
      <sz val="12"/>
      <color rgb="FF3F6351"/>
      <name val="Aptos Narrow"/>
      <scheme val="minor"/>
    </font>
    <font>
      <b/>
      <sz val="11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rgb="FF000000"/>
      <name val="Aptos Narrow"/>
    </font>
    <font>
      <i/>
      <sz val="12"/>
      <color rgb="FF000000"/>
      <name val="Aptos Narrow"/>
    </font>
    <font>
      <sz val="10"/>
      <color rgb="FF000000"/>
      <name val="+mn-lt"/>
      <charset val="1"/>
    </font>
    <font>
      <sz val="12"/>
      <color theme="1"/>
      <name val="Aptos Narrow (Body)"/>
    </font>
    <font>
      <sz val="12"/>
      <color theme="1"/>
      <name val="Aptos Narrow (Leipäteksti)"/>
    </font>
    <font>
      <b/>
      <i/>
      <sz val="11"/>
      <color theme="1"/>
      <name val="Aptos Narrow"/>
      <scheme val="minor"/>
    </font>
    <font>
      <b/>
      <i/>
      <sz val="18"/>
      <color rgb="FF3F6351"/>
      <name val="Aptos Narrow"/>
      <scheme val="minor"/>
    </font>
    <font>
      <b/>
      <sz val="11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rgb="FF528269"/>
      <name val="Aptos Narrow"/>
      <scheme val="minor"/>
    </font>
    <font>
      <b/>
      <i/>
      <sz val="16"/>
      <color rgb="FF3F6351"/>
      <name val="Aptos Narrow"/>
      <scheme val="minor"/>
    </font>
    <font>
      <b/>
      <sz val="28"/>
      <color rgb="FF528269"/>
      <name val="Aptos Narrow"/>
      <scheme val="minor"/>
    </font>
    <font>
      <b/>
      <sz val="12"/>
      <color rgb="FF3F6351"/>
      <name val="Aptos Narrow (Leipäteksti)"/>
    </font>
    <font>
      <b/>
      <i/>
      <sz val="9"/>
      <color rgb="FF3F6351"/>
      <name val="Aptos Narrow"/>
      <scheme val="minor"/>
    </font>
    <font>
      <strike/>
      <sz val="12"/>
      <color theme="1"/>
      <name val="Aptos Narrow"/>
      <scheme val="minor"/>
    </font>
    <font>
      <sz val="11"/>
      <color rgb="FF000000"/>
      <name val="Aptos Narrow (Body)"/>
    </font>
    <font>
      <b/>
      <sz val="11"/>
      <color rgb="FF3F6351"/>
      <name val="Aptos Narrow (Body)"/>
    </font>
    <font>
      <sz val="11"/>
      <color theme="1"/>
      <name val="Aptos Narrow (Body)"/>
    </font>
    <font>
      <i/>
      <sz val="12"/>
      <name val="Aptos Narrow (Leipäteksti)"/>
    </font>
    <font>
      <b/>
      <sz val="9"/>
      <color rgb="FF3F6351"/>
      <name val="Aptos Narrow"/>
      <scheme val="minor"/>
    </font>
    <font>
      <sz val="26"/>
      <color rgb="FF3F6351"/>
      <name val="Aptos Narrow Bold"/>
    </font>
    <font>
      <b/>
      <sz val="12"/>
      <color rgb="FFFF0000"/>
      <name val="Aptos Narrow"/>
      <scheme val="minor"/>
    </font>
    <font>
      <sz val="12"/>
      <color rgb="FF0C2645"/>
      <name val="Aptos Narrow"/>
      <scheme val="minor"/>
    </font>
    <font>
      <u/>
      <sz val="12"/>
      <color rgb="FF1155CC"/>
      <name val="Aptos Narrow"/>
      <scheme val="minor"/>
    </font>
    <font>
      <b/>
      <sz val="12"/>
      <color rgb="FF0C2645"/>
      <name val="Aptos Narrow"/>
      <scheme val="minor"/>
    </font>
    <font>
      <sz val="10"/>
      <color rgb="FF000000"/>
      <name val="+mj-lt"/>
      <charset val="1"/>
    </font>
    <font>
      <sz val="12"/>
      <color theme="0"/>
      <name val="Aptos Narrow"/>
      <scheme val="minor"/>
    </font>
    <font>
      <sz val="12"/>
      <color theme="0"/>
      <name val="Aptos Narrow"/>
    </font>
    <font>
      <strike/>
      <sz val="12"/>
      <color theme="1"/>
      <name val="Aptos Narrow"/>
    </font>
    <font>
      <sz val="12"/>
      <color theme="0"/>
      <name val="Aptos Narrow (Body)"/>
    </font>
    <font>
      <b/>
      <sz val="12"/>
      <name val="Aptos Narrow"/>
      <scheme val="minor"/>
    </font>
    <font>
      <i/>
      <sz val="12"/>
      <color rgb="FF0C2645"/>
      <name val="Aptos Narrow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AE0B0"/>
        <bgColor indexed="64"/>
      </patternFill>
    </fill>
    <fill>
      <patternFill patternType="solid">
        <fgColor rgb="FFB4DB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AE0B0"/>
        <bgColor rgb="FF000000"/>
      </patternFill>
    </fill>
    <fill>
      <patternFill patternType="solid">
        <fgColor rgb="FFB4DBC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</fills>
  <borders count="25">
    <border>
      <left/>
      <right/>
      <top/>
      <bottom/>
      <diagonal/>
    </border>
    <border>
      <left style="thin">
        <color rgb="FFE6E9EC"/>
      </left>
      <right style="thin">
        <color rgb="FFE6E9EC"/>
      </right>
      <top style="thin">
        <color rgb="FFE6E9EC"/>
      </top>
      <bottom style="thin">
        <color rgb="FFE6E9EC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mediumDashed">
        <color rgb="FFE97132"/>
      </left>
      <right style="mediumDashed">
        <color rgb="FFE97132"/>
      </right>
      <top style="mediumDashed">
        <color rgb="FFE97132"/>
      </top>
      <bottom style="mediumDashed">
        <color rgb="FFE97132"/>
      </bottom>
      <diagonal/>
    </border>
    <border>
      <left style="thin">
        <color rgb="FF000000"/>
      </left>
      <right style="mediumDashed">
        <color rgb="FFE97132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Dashed">
        <color theme="5"/>
      </left>
      <right/>
      <top style="mediumDashed">
        <color theme="5"/>
      </top>
      <bottom style="mediumDashed">
        <color theme="5"/>
      </bottom>
      <diagonal/>
    </border>
    <border>
      <left/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mediumDashed">
        <color theme="5"/>
      </left>
      <right style="mediumDashed">
        <color theme="5"/>
      </right>
      <top/>
      <bottom style="mediumDashed">
        <color theme="5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E6E9EC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47">
    <xf numFmtId="0" fontId="0" fillId="0" borderId="0" xfId="0"/>
    <xf numFmtId="0" fontId="8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right"/>
    </xf>
    <xf numFmtId="164" fontId="8" fillId="0" borderId="0" xfId="0" applyNumberFormat="1" applyFont="1"/>
    <xf numFmtId="0" fontId="10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4" borderId="0" xfId="0" applyFill="1"/>
    <xf numFmtId="164" fontId="7" fillId="4" borderId="0" xfId="0" applyNumberFormat="1" applyFont="1" applyFill="1"/>
    <xf numFmtId="0" fontId="2" fillId="4" borderId="0" xfId="0" applyFont="1" applyFill="1"/>
    <xf numFmtId="0" fontId="11" fillId="4" borderId="0" xfId="0" applyFont="1" applyFill="1"/>
    <xf numFmtId="0" fontId="2" fillId="4" borderId="5" xfId="0" applyFont="1" applyFill="1" applyBorder="1"/>
    <xf numFmtId="0" fontId="9" fillId="4" borderId="0" xfId="0" applyFont="1" applyFill="1"/>
    <xf numFmtId="0" fontId="0" fillId="4" borderId="2" xfId="0" applyFill="1" applyBorder="1"/>
    <xf numFmtId="0" fontId="11" fillId="5" borderId="5" xfId="0" applyFont="1" applyFill="1" applyBorder="1"/>
    <xf numFmtId="0" fontId="8" fillId="5" borderId="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 wrapText="1"/>
    </xf>
    <xf numFmtId="0" fontId="2" fillId="5" borderId="5" xfId="0" applyFont="1" applyFill="1" applyBorder="1"/>
    <xf numFmtId="0" fontId="19" fillId="4" borderId="0" xfId="0" applyFont="1" applyFill="1"/>
    <xf numFmtId="0" fontId="20" fillId="4" borderId="0" xfId="0" applyFont="1" applyFill="1"/>
    <xf numFmtId="0" fontId="21" fillId="4" borderId="0" xfId="0" applyFont="1" applyFill="1"/>
    <xf numFmtId="0" fontId="14" fillId="4" borderId="0" xfId="0" applyFont="1" applyFill="1"/>
    <xf numFmtId="0" fontId="7" fillId="4" borderId="0" xfId="0" applyFont="1" applyFill="1" applyAlignment="1">
      <alignment horizontal="left"/>
    </xf>
    <xf numFmtId="0" fontId="7" fillId="4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horizontal="left"/>
    </xf>
    <xf numFmtId="0" fontId="8" fillId="5" borderId="5" xfId="0" applyFont="1" applyFill="1" applyBorder="1"/>
    <xf numFmtId="0" fontId="2" fillId="5" borderId="6" xfId="0" applyFont="1" applyFill="1" applyBorder="1"/>
    <xf numFmtId="0" fontId="23" fillId="3" borderId="0" xfId="0" applyFont="1" applyFill="1"/>
    <xf numFmtId="0" fontId="0" fillId="3" borderId="0" xfId="0" applyFill="1"/>
    <xf numFmtId="0" fontId="11" fillId="3" borderId="0" xfId="0" applyFont="1" applyFill="1"/>
    <xf numFmtId="0" fontId="24" fillId="4" borderId="0" xfId="0" applyFont="1" applyFill="1"/>
    <xf numFmtId="0" fontId="0" fillId="5" borderId="6" xfId="0" applyFill="1" applyBorder="1"/>
    <xf numFmtId="0" fontId="25" fillId="8" borderId="2" xfId="0" applyFont="1" applyFill="1" applyBorder="1"/>
    <xf numFmtId="0" fontId="12" fillId="4" borderId="5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4" fontId="11" fillId="4" borderId="5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1" fontId="7" fillId="2" borderId="9" xfId="0" applyNumberFormat="1" applyFont="1" applyFill="1" applyBorder="1" applyAlignment="1">
      <alignment horizontal="center"/>
    </xf>
    <xf numFmtId="0" fontId="7" fillId="4" borderId="0" xfId="0" applyFont="1" applyFill="1"/>
    <xf numFmtId="0" fontId="26" fillId="8" borderId="2" xfId="0" applyFont="1" applyFill="1" applyBorder="1"/>
    <xf numFmtId="0" fontId="7" fillId="6" borderId="5" xfId="0" applyFont="1" applyFill="1" applyBorder="1"/>
    <xf numFmtId="166" fontId="7" fillId="4" borderId="0" xfId="0" applyNumberFormat="1" applyFont="1" applyFill="1"/>
    <xf numFmtId="166" fontId="7" fillId="4" borderId="2" xfId="0" applyNumberFormat="1" applyFont="1" applyFill="1" applyBorder="1"/>
    <xf numFmtId="0" fontId="7" fillId="5" borderId="3" xfId="0" applyFont="1" applyFill="1" applyBorder="1" applyAlignment="1">
      <alignment horizontal="left" wrapText="1"/>
    </xf>
    <xf numFmtId="0" fontId="7" fillId="5" borderId="11" xfId="0" applyFont="1" applyFill="1" applyBorder="1"/>
    <xf numFmtId="0" fontId="7" fillId="5" borderId="12" xfId="0" applyFont="1" applyFill="1" applyBorder="1"/>
    <xf numFmtId="4" fontId="27" fillId="8" borderId="5" xfId="0" applyNumberFormat="1" applyFont="1" applyFill="1" applyBorder="1" applyAlignment="1">
      <alignment horizontal="center"/>
    </xf>
    <xf numFmtId="4" fontId="26" fillId="10" borderId="5" xfId="0" applyNumberFormat="1" applyFont="1" applyFill="1" applyBorder="1" applyAlignment="1">
      <alignment horizontal="center"/>
    </xf>
    <xf numFmtId="0" fontId="7" fillId="3" borderId="0" xfId="0" applyFont="1" applyFill="1"/>
    <xf numFmtId="0" fontId="8" fillId="3" borderId="0" xfId="0" applyFont="1" applyFill="1"/>
    <xf numFmtId="0" fontId="0" fillId="0" borderId="2" xfId="0" applyBorder="1"/>
    <xf numFmtId="2" fontId="26" fillId="10" borderId="5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4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24" fillId="4" borderId="2" xfId="0" applyFont="1" applyFill="1" applyBorder="1" applyAlignment="1">
      <alignment horizontal="left"/>
    </xf>
    <xf numFmtId="0" fontId="26" fillId="10" borderId="8" xfId="0" applyFont="1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0" fontId="24" fillId="4" borderId="0" xfId="0" applyFont="1" applyFill="1" applyAlignment="1">
      <alignment horizontal="center"/>
    </xf>
    <xf numFmtId="0" fontId="29" fillId="4" borderId="0" xfId="0" applyFont="1" applyFill="1"/>
    <xf numFmtId="0" fontId="0" fillId="4" borderId="14" xfId="0" applyFill="1" applyBorder="1"/>
    <xf numFmtId="4" fontId="0" fillId="0" borderId="0" xfId="0" applyNumberFormat="1"/>
    <xf numFmtId="4" fontId="13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27" fillId="11" borderId="5" xfId="0" applyNumberFormat="1" applyFont="1" applyFill="1" applyBorder="1" applyAlignment="1">
      <alignment horizontal="center"/>
    </xf>
    <xf numFmtId="4" fontId="8" fillId="4" borderId="5" xfId="0" applyNumberFormat="1" applyFont="1" applyFill="1" applyBorder="1" applyAlignment="1">
      <alignment horizontal="center"/>
    </xf>
    <xf numFmtId="169" fontId="27" fillId="8" borderId="5" xfId="0" applyNumberFormat="1" applyFont="1" applyFill="1" applyBorder="1" applyAlignment="1">
      <alignment horizontal="center"/>
    </xf>
    <xf numFmtId="2" fontId="25" fillId="9" borderId="10" xfId="0" applyNumberFormat="1" applyFont="1" applyFill="1" applyBorder="1" applyAlignment="1" applyProtection="1">
      <alignment horizontal="center"/>
      <protection locked="0"/>
    </xf>
    <xf numFmtId="168" fontId="0" fillId="2" borderId="13" xfId="0" applyNumberFormat="1" applyFill="1" applyBorder="1" applyAlignment="1" applyProtection="1">
      <alignment horizontal="center"/>
      <protection locked="0"/>
    </xf>
    <xf numFmtId="168" fontId="0" fillId="2" borderId="9" xfId="0" applyNumberFormat="1" applyFill="1" applyBorder="1" applyAlignment="1" applyProtection="1">
      <alignment horizontal="center"/>
      <protection locked="0"/>
    </xf>
    <xf numFmtId="0" fontId="27" fillId="8" borderId="2" xfId="0" applyFont="1" applyFill="1" applyBorder="1" applyAlignment="1">
      <alignment horizontal="center"/>
    </xf>
    <xf numFmtId="0" fontId="0" fillId="4" borderId="15" xfId="0" applyFill="1" applyBorder="1"/>
    <xf numFmtId="0" fontId="14" fillId="4" borderId="17" xfId="0" applyFont="1" applyFill="1" applyBorder="1"/>
    <xf numFmtId="0" fontId="0" fillId="4" borderId="17" xfId="0" applyFill="1" applyBorder="1"/>
    <xf numFmtId="0" fontId="0" fillId="0" borderId="17" xfId="0" applyBorder="1"/>
    <xf numFmtId="0" fontId="19" fillId="8" borderId="2" xfId="0" applyFont="1" applyFill="1" applyBorder="1"/>
    <xf numFmtId="0" fontId="0" fillId="0" borderId="16" xfId="0" applyBorder="1"/>
    <xf numFmtId="0" fontId="18" fillId="4" borderId="16" xfId="0" applyFont="1" applyFill="1" applyBorder="1"/>
    <xf numFmtId="0" fontId="19" fillId="4" borderId="16" xfId="0" applyFont="1" applyFill="1" applyBorder="1"/>
    <xf numFmtId="1" fontId="0" fillId="9" borderId="10" xfId="0" applyNumberFormat="1" applyFill="1" applyBorder="1" applyAlignment="1" applyProtection="1">
      <alignment horizontal="center"/>
      <protection locked="0"/>
    </xf>
    <xf numFmtId="2" fontId="0" fillId="9" borderId="10" xfId="0" applyNumberFormat="1" applyFill="1" applyBorder="1" applyAlignment="1" applyProtection="1">
      <alignment horizontal="center"/>
      <protection locked="0"/>
    </xf>
    <xf numFmtId="4" fontId="25" fillId="9" borderId="10" xfId="0" applyNumberFormat="1" applyFont="1" applyFill="1" applyBorder="1" applyAlignment="1" applyProtection="1">
      <alignment horizontal="center"/>
      <protection locked="0"/>
    </xf>
    <xf numFmtId="168" fontId="30" fillId="2" borderId="9" xfId="0" applyNumberFormat="1" applyFont="1" applyFill="1" applyBorder="1" applyAlignment="1" applyProtection="1">
      <alignment horizontal="center"/>
      <protection locked="0"/>
    </xf>
    <xf numFmtId="4" fontId="7" fillId="4" borderId="5" xfId="0" applyNumberFormat="1" applyFont="1" applyFill="1" applyBorder="1" applyAlignment="1">
      <alignment horizontal="center"/>
    </xf>
    <xf numFmtId="0" fontId="31" fillId="4" borderId="0" xfId="0" applyFont="1" applyFill="1"/>
    <xf numFmtId="3" fontId="25" fillId="9" borderId="10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 applyAlignment="1">
      <alignment horizontal="center"/>
    </xf>
    <xf numFmtId="0" fontId="33" fillId="8" borderId="2" xfId="0" applyFont="1" applyFill="1" applyBorder="1" applyAlignment="1">
      <alignment horizontal="center"/>
    </xf>
    <xf numFmtId="0" fontId="34" fillId="12" borderId="5" xfId="0" applyFont="1" applyFill="1" applyBorder="1"/>
    <xf numFmtId="4" fontId="34" fillId="8" borderId="7" xfId="0" applyNumberFormat="1" applyFont="1" applyFill="1" applyBorder="1" applyAlignment="1">
      <alignment horizontal="center"/>
    </xf>
    <xf numFmtId="0" fontId="8" fillId="5" borderId="5" xfId="0" applyFont="1" applyFill="1" applyBorder="1" applyAlignment="1">
      <alignment horizontal="left"/>
    </xf>
    <xf numFmtId="0" fontId="34" fillId="12" borderId="5" xfId="0" applyFont="1" applyFill="1" applyBorder="1" applyAlignment="1">
      <alignment horizontal="left"/>
    </xf>
    <xf numFmtId="0" fontId="33" fillId="10" borderId="2" xfId="0" applyFont="1" applyFill="1" applyBorder="1" applyAlignment="1">
      <alignment horizontal="center"/>
    </xf>
    <xf numFmtId="0" fontId="36" fillId="3" borderId="0" xfId="0" applyFont="1" applyFill="1"/>
    <xf numFmtId="0" fontId="36" fillId="4" borderId="0" xfId="0" applyFont="1" applyFill="1"/>
    <xf numFmtId="0" fontId="36" fillId="8" borderId="2" xfId="0" applyFont="1" applyFill="1" applyBorder="1"/>
    <xf numFmtId="0" fontId="36" fillId="11" borderId="2" xfId="0" applyFont="1" applyFill="1" applyBorder="1"/>
    <xf numFmtId="4" fontId="0" fillId="9" borderId="10" xfId="0" applyNumberForma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12" fillId="7" borderId="8" xfId="0" applyNumberFormat="1" applyFont="1" applyFill="1" applyBorder="1" applyAlignment="1">
      <alignment horizontal="center"/>
    </xf>
    <xf numFmtId="4" fontId="0" fillId="4" borderId="0" xfId="0" applyNumberFormat="1" applyFill="1"/>
    <xf numFmtId="4" fontId="26" fillId="9" borderId="10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>
      <alignment horizontal="center"/>
    </xf>
    <xf numFmtId="0" fontId="8" fillId="4" borderId="2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37" fillId="8" borderId="2" xfId="0" applyFont="1" applyFill="1" applyBorder="1" applyAlignment="1">
      <alignment horizontal="right" vertical="center" textRotation="90"/>
    </xf>
    <xf numFmtId="0" fontId="39" fillId="3" borderId="0" xfId="0" applyFont="1" applyFill="1"/>
    <xf numFmtId="0" fontId="37" fillId="4" borderId="2" xfId="0" applyFont="1" applyFill="1" applyBorder="1" applyAlignment="1">
      <alignment horizontal="right" vertical="center" textRotation="90" wrapText="1"/>
    </xf>
    <xf numFmtId="0" fontId="37" fillId="4" borderId="2" xfId="0" applyFont="1" applyFill="1" applyBorder="1" applyAlignment="1">
      <alignment horizontal="right" vertical="center" textRotation="90"/>
    </xf>
    <xf numFmtId="0" fontId="37" fillId="4" borderId="2" xfId="0" applyFont="1" applyFill="1" applyBorder="1" applyAlignment="1">
      <alignment vertical="center" textRotation="90"/>
    </xf>
    <xf numFmtId="0" fontId="7" fillId="5" borderId="4" xfId="0" applyFont="1" applyFill="1" applyBorder="1" applyAlignment="1">
      <alignment horizontal="left"/>
    </xf>
    <xf numFmtId="166" fontId="7" fillId="0" borderId="2" xfId="0" applyNumberFormat="1" applyFont="1" applyBorder="1" applyAlignment="1">
      <alignment horizontal="center"/>
    </xf>
    <xf numFmtId="4" fontId="26" fillId="10" borderId="8" xfId="0" applyNumberFormat="1" applyFont="1" applyFill="1" applyBorder="1" applyAlignment="1">
      <alignment horizontal="center"/>
    </xf>
    <xf numFmtId="165" fontId="25" fillId="9" borderId="9" xfId="0" applyNumberFormat="1" applyFont="1" applyFill="1" applyBorder="1" applyAlignment="1" applyProtection="1">
      <alignment horizontal="center"/>
      <protection locked="0"/>
    </xf>
    <xf numFmtId="0" fontId="7" fillId="5" borderId="6" xfId="0" applyFont="1" applyFill="1" applyBorder="1"/>
    <xf numFmtId="0" fontId="40" fillId="4" borderId="0" xfId="0" applyFont="1" applyFill="1"/>
    <xf numFmtId="0" fontId="18" fillId="4" borderId="0" xfId="0" applyFont="1" applyFill="1"/>
    <xf numFmtId="0" fontId="41" fillId="8" borderId="2" xfId="0" applyFont="1" applyFill="1" applyBorder="1"/>
    <xf numFmtId="0" fontId="42" fillId="4" borderId="16" xfId="0" applyFont="1" applyFill="1" applyBorder="1"/>
    <xf numFmtId="0" fontId="43" fillId="0" borderId="16" xfId="0" applyFont="1" applyBorder="1"/>
    <xf numFmtId="0" fontId="43" fillId="4" borderId="0" xfId="0" applyFont="1" applyFill="1"/>
    <xf numFmtId="0" fontId="43" fillId="0" borderId="0" xfId="0" applyFont="1"/>
    <xf numFmtId="165" fontId="0" fillId="3" borderId="8" xfId="0" applyNumberFormat="1" applyFill="1" applyBorder="1" applyAlignment="1">
      <alignment horizontal="center"/>
    </xf>
    <xf numFmtId="1" fontId="0" fillId="2" borderId="20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0" fontId="25" fillId="10" borderId="2" xfId="0" applyFont="1" applyFill="1" applyBorder="1"/>
    <xf numFmtId="0" fontId="36" fillId="10" borderId="2" xfId="0" applyFont="1" applyFill="1" applyBorder="1"/>
    <xf numFmtId="0" fontId="7" fillId="4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7" fontId="2" fillId="3" borderId="5" xfId="0" applyNumberFormat="1" applyFont="1" applyFill="1" applyBorder="1" applyAlignment="1">
      <alignment horizontal="center"/>
    </xf>
    <xf numFmtId="0" fontId="44" fillId="4" borderId="5" xfId="0" applyFont="1" applyFill="1" applyBorder="1" applyAlignment="1">
      <alignment horizontal="center"/>
    </xf>
    <xf numFmtId="167" fontId="12" fillId="4" borderId="5" xfId="0" applyNumberFormat="1" applyFont="1" applyFill="1" applyBorder="1" applyAlignment="1">
      <alignment horizontal="center"/>
    </xf>
    <xf numFmtId="2" fontId="11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165" fontId="7" fillId="2" borderId="9" xfId="0" applyNumberFormat="1" applyFont="1" applyFill="1" applyBorder="1" applyAlignment="1" applyProtection="1">
      <alignment horizontal="center"/>
      <protection locked="0"/>
    </xf>
    <xf numFmtId="0" fontId="7" fillId="3" borderId="5" xfId="0" applyFont="1" applyFill="1" applyBorder="1" applyAlignment="1">
      <alignment horizontal="center"/>
    </xf>
    <xf numFmtId="0" fontId="34" fillId="10" borderId="2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wrapText="1"/>
    </xf>
    <xf numFmtId="2" fontId="7" fillId="3" borderId="5" xfId="0" applyNumberFormat="1" applyFont="1" applyFill="1" applyBorder="1" applyAlignment="1">
      <alignment horizontal="center"/>
    </xf>
    <xf numFmtId="4" fontId="7" fillId="3" borderId="5" xfId="0" applyNumberFormat="1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center"/>
    </xf>
    <xf numFmtId="3" fontId="7" fillId="2" borderId="9" xfId="0" applyNumberFormat="1" applyFont="1" applyFill="1" applyBorder="1" applyAlignment="1" applyProtection="1">
      <alignment horizontal="center"/>
      <protection locked="0"/>
    </xf>
    <xf numFmtId="3" fontId="0" fillId="3" borderId="8" xfId="0" applyNumberFormat="1" applyFill="1" applyBorder="1" applyAlignment="1">
      <alignment horizontal="center"/>
    </xf>
    <xf numFmtId="3" fontId="12" fillId="4" borderId="5" xfId="0" applyNumberFormat="1" applyFont="1" applyFill="1" applyBorder="1" applyAlignment="1">
      <alignment horizontal="center"/>
    </xf>
    <xf numFmtId="0" fontId="45" fillId="4" borderId="0" xfId="0" applyFont="1" applyFill="1"/>
    <xf numFmtId="0" fontId="8" fillId="5" borderId="3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 wrapText="1"/>
    </xf>
    <xf numFmtId="0" fontId="0" fillId="4" borderId="21" xfId="0" applyFill="1" applyBorder="1" applyAlignment="1">
      <alignment horizontal="center"/>
    </xf>
    <xf numFmtId="0" fontId="37" fillId="3" borderId="2" xfId="0" applyFont="1" applyFill="1" applyBorder="1" applyAlignment="1">
      <alignment horizontal="right" vertical="center" textRotation="90"/>
    </xf>
    <xf numFmtId="0" fontId="0" fillId="3" borderId="2" xfId="0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37" fillId="10" borderId="2" xfId="0" applyFont="1" applyFill="1" applyBorder="1" applyAlignment="1">
      <alignment horizontal="right" vertical="center" textRotation="90"/>
    </xf>
    <xf numFmtId="0" fontId="37" fillId="3" borderId="2" xfId="0" applyFont="1" applyFill="1" applyBorder="1" applyAlignment="1">
      <alignment horizontal="right" vertical="center" textRotation="90" wrapText="1"/>
    </xf>
    <xf numFmtId="4" fontId="7" fillId="3" borderId="0" xfId="0" applyNumberFormat="1" applyFont="1" applyFill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 wrapText="1"/>
    </xf>
    <xf numFmtId="4" fontId="8" fillId="4" borderId="22" xfId="0" applyNumberFormat="1" applyFont="1" applyFill="1" applyBorder="1" applyAlignment="1">
      <alignment horizontal="center"/>
    </xf>
    <xf numFmtId="4" fontId="7" fillId="3" borderId="8" xfId="0" applyNumberFormat="1" applyFont="1" applyFill="1" applyBorder="1" applyAlignment="1">
      <alignment horizontal="center"/>
    </xf>
    <xf numFmtId="0" fontId="16" fillId="4" borderId="0" xfId="0" applyFont="1" applyFill="1"/>
    <xf numFmtId="0" fontId="15" fillId="4" borderId="0" xfId="1" applyFill="1"/>
    <xf numFmtId="9" fontId="2" fillId="4" borderId="0" xfId="0" applyNumberFormat="1" applyFont="1" applyFill="1"/>
    <xf numFmtId="0" fontId="1" fillId="4" borderId="0" xfId="0" applyFont="1" applyFill="1"/>
    <xf numFmtId="9" fontId="0" fillId="4" borderId="0" xfId="0" applyNumberFormat="1" applyFill="1"/>
    <xf numFmtId="0" fontId="6" fillId="4" borderId="0" xfId="0" applyFont="1" applyFill="1"/>
    <xf numFmtId="0" fontId="3" fillId="4" borderId="0" xfId="0" applyFont="1" applyFill="1"/>
    <xf numFmtId="0" fontId="24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 wrapText="1"/>
    </xf>
    <xf numFmtId="0" fontId="46" fillId="4" borderId="0" xfId="0" applyFont="1" applyFill="1"/>
    <xf numFmtId="0" fontId="0" fillId="4" borderId="0" xfId="0" applyFill="1" applyAlignment="1">
      <alignment horizontal="left" vertical="top" wrapText="1"/>
    </xf>
    <xf numFmtId="0" fontId="15" fillId="4" borderId="0" xfId="1" applyFill="1" applyAlignment="1">
      <alignment horizontal="left" vertical="top"/>
    </xf>
    <xf numFmtId="9" fontId="11" fillId="4" borderId="0" xfId="0" applyNumberFormat="1" applyFont="1" applyFill="1"/>
    <xf numFmtId="0" fontId="47" fillId="4" borderId="0" xfId="0" applyFont="1" applyFill="1" applyAlignment="1">
      <alignment horizontal="left" vertical="top" wrapText="1"/>
    </xf>
    <xf numFmtId="0" fontId="15" fillId="4" borderId="0" xfId="1" applyFill="1" applyAlignment="1">
      <alignment horizontal="center"/>
    </xf>
    <xf numFmtId="0" fontId="32" fillId="3" borderId="2" xfId="0" applyFont="1" applyFill="1" applyBorder="1"/>
    <xf numFmtId="0" fontId="19" fillId="3" borderId="0" xfId="0" applyFont="1" applyFill="1"/>
    <xf numFmtId="0" fontId="35" fillId="3" borderId="0" xfId="0" applyFont="1" applyFill="1"/>
    <xf numFmtId="4" fontId="26" fillId="10" borderId="5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52" fillId="4" borderId="0" xfId="0" applyFont="1" applyFill="1"/>
    <xf numFmtId="0" fontId="53" fillId="8" borderId="2" xfId="0" applyFont="1" applyFill="1" applyBorder="1"/>
    <xf numFmtId="0" fontId="52" fillId="4" borderId="2" xfId="0" applyFont="1" applyFill="1" applyBorder="1" applyAlignment="1">
      <alignment horizontal="center"/>
    </xf>
    <xf numFmtId="0" fontId="54" fillId="4" borderId="0" xfId="0" applyFont="1" applyFill="1"/>
    <xf numFmtId="0" fontId="24" fillId="4" borderId="0" xfId="0" applyFont="1" applyFill="1" applyAlignment="1">
      <alignment horizontal="center" wrapText="1"/>
    </xf>
    <xf numFmtId="0" fontId="0" fillId="4" borderId="0" xfId="0" applyFill="1" applyAlignment="1">
      <alignment wrapText="1"/>
    </xf>
    <xf numFmtId="0" fontId="19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0" fontId="55" fillId="4" borderId="0" xfId="0" applyFont="1" applyFill="1" applyAlignment="1">
      <alignment horizontal="left" vertical="top" wrapText="1"/>
    </xf>
    <xf numFmtId="0" fontId="56" fillId="4" borderId="0" xfId="0" applyFont="1" applyFill="1" applyAlignment="1">
      <alignment horizontal="left" vertical="top" wrapText="1"/>
    </xf>
    <xf numFmtId="9" fontId="0" fillId="4" borderId="0" xfId="0" applyNumberFormat="1" applyFill="1" applyAlignment="1">
      <alignment wrapText="1"/>
    </xf>
    <xf numFmtId="0" fontId="48" fillId="4" borderId="23" xfId="0" applyFont="1" applyFill="1" applyBorder="1" applyAlignment="1">
      <alignment horizontal="left"/>
    </xf>
    <xf numFmtId="0" fontId="26" fillId="8" borderId="0" xfId="0" applyFont="1" applyFill="1" applyAlignment="1">
      <alignment horizontal="left"/>
    </xf>
    <xf numFmtId="2" fontId="12" fillId="4" borderId="5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38" fillId="4" borderId="0" xfId="0" applyFont="1" applyFill="1"/>
    <xf numFmtId="0" fontId="25" fillId="12" borderId="5" xfId="0" applyFont="1" applyFill="1" applyBorder="1"/>
    <xf numFmtId="0" fontId="25" fillId="12" borderId="24" xfId="0" applyFont="1" applyFill="1" applyBorder="1"/>
    <xf numFmtId="0" fontId="30" fillId="4" borderId="0" xfId="0" applyFont="1" applyFill="1" applyAlignment="1">
      <alignment horizontal="right"/>
    </xf>
    <xf numFmtId="0" fontId="15" fillId="4" borderId="0" xfId="1" applyFill="1" applyAlignment="1">
      <alignment horizontal="left" vertical="top" wrapText="1"/>
    </xf>
    <xf numFmtId="0" fontId="8" fillId="5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165" fontId="7" fillId="2" borderId="18" xfId="0" applyNumberFormat="1" applyFont="1" applyFill="1" applyBorder="1" applyAlignment="1" applyProtection="1">
      <alignment horizontal="center"/>
      <protection locked="0"/>
    </xf>
    <xf numFmtId="0" fontId="11" fillId="3" borderId="2" xfId="0" applyFont="1" applyFill="1" applyBorder="1"/>
    <xf numFmtId="0" fontId="9" fillId="4" borderId="2" xfId="0" applyFont="1" applyFill="1" applyBorder="1"/>
    <xf numFmtId="2" fontId="8" fillId="4" borderId="6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center"/>
    </xf>
    <xf numFmtId="165" fontId="7" fillId="2" borderId="5" xfId="0" applyNumberFormat="1" applyFont="1" applyFill="1" applyBorder="1" applyAlignment="1" applyProtection="1">
      <alignment horizontal="center"/>
      <protection locked="0"/>
    </xf>
    <xf numFmtId="0" fontId="0" fillId="3" borderId="2" xfId="0" applyFill="1" applyBorder="1"/>
    <xf numFmtId="0" fontId="15" fillId="4" borderId="0" xfId="1" applyFill="1" applyAlignment="1">
      <alignment horizontal="left"/>
    </xf>
    <xf numFmtId="9" fontId="2" fillId="0" borderId="0" xfId="0" applyNumberFormat="1" applyFont="1"/>
    <xf numFmtId="9" fontId="0" fillId="0" borderId="0" xfId="0" applyNumberFormat="1"/>
    <xf numFmtId="0" fontId="11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9" fontId="0" fillId="0" borderId="2" xfId="0" applyNumberFormat="1" applyBorder="1"/>
    <xf numFmtId="0" fontId="0" fillId="0" borderId="2" xfId="0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49" fillId="0" borderId="2" xfId="0" applyFont="1" applyBorder="1" applyAlignment="1">
      <alignment horizontal="center"/>
    </xf>
    <xf numFmtId="0" fontId="15" fillId="0" borderId="2" xfId="1" applyFill="1" applyBorder="1" applyAlignment="1">
      <alignment horizontal="center"/>
    </xf>
    <xf numFmtId="3" fontId="50" fillId="0" borderId="2" xfId="0" applyNumberFormat="1" applyFont="1" applyBorder="1" applyAlignment="1">
      <alignment horizontal="right"/>
    </xf>
    <xf numFmtId="0" fontId="48" fillId="0" borderId="2" xfId="0" applyFont="1" applyBorder="1" applyAlignment="1">
      <alignment horizontal="right"/>
    </xf>
    <xf numFmtId="3" fontId="48" fillId="0" borderId="2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50" fillId="0" borderId="2" xfId="0" applyFont="1" applyBorder="1" applyAlignment="1">
      <alignment horizontal="right"/>
    </xf>
    <xf numFmtId="0" fontId="36" fillId="4" borderId="2" xfId="0" applyFont="1" applyFill="1" applyBorder="1"/>
    <xf numFmtId="0" fontId="11" fillId="4" borderId="0" xfId="0" applyFont="1" applyFill="1" applyAlignment="1">
      <alignment vertical="top" wrapText="1"/>
    </xf>
    <xf numFmtId="0" fontId="23" fillId="4" borderId="2" xfId="0" applyFont="1" applyFill="1" applyBorder="1"/>
    <xf numFmtId="0" fontId="26" fillId="4" borderId="0" xfId="0" applyFont="1" applyFill="1" applyAlignment="1">
      <alignment horizontal="right"/>
    </xf>
    <xf numFmtId="0" fontId="17" fillId="4" borderId="0" xfId="0" applyFont="1" applyFill="1"/>
    <xf numFmtId="0" fontId="57" fillId="4" borderId="0" xfId="0" applyFont="1" applyFill="1" applyAlignment="1">
      <alignment horizontal="center"/>
    </xf>
    <xf numFmtId="0" fontId="48" fillId="4" borderId="1" xfId="0" applyFont="1" applyFill="1" applyBorder="1" applyAlignment="1">
      <alignment horizontal="center"/>
    </xf>
    <xf numFmtId="3" fontId="48" fillId="4" borderId="1" xfId="0" applyNumberFormat="1" applyFont="1" applyFill="1" applyBorder="1" applyAlignment="1">
      <alignment horizontal="center"/>
    </xf>
    <xf numFmtId="0" fontId="37" fillId="4" borderId="2" xfId="0" applyFont="1" applyFill="1" applyBorder="1" applyAlignment="1">
      <alignment horizontal="right" vertical="center" textRotation="90"/>
    </xf>
    <xf numFmtId="0" fontId="37" fillId="4" borderId="2" xfId="0" applyFont="1" applyFill="1" applyBorder="1" applyAlignment="1">
      <alignment horizontal="right" vertical="center" textRotation="90" wrapText="1"/>
    </xf>
    <xf numFmtId="1" fontId="26" fillId="9" borderId="18" xfId="0" applyNumberFormat="1" applyFont="1" applyFill="1" applyBorder="1" applyAlignment="1" applyProtection="1">
      <alignment horizontal="center"/>
      <protection locked="0"/>
    </xf>
    <xf numFmtId="1" fontId="26" fillId="9" borderId="19" xfId="0" applyNumberFormat="1" applyFont="1" applyFill="1" applyBorder="1" applyAlignment="1" applyProtection="1">
      <alignment horizontal="center"/>
      <protection locked="0"/>
    </xf>
    <xf numFmtId="0" fontId="37" fillId="8" borderId="2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</cellXfs>
  <cellStyles count="2">
    <cellStyle name="Hyperlinkki" xfId="1" builtinId="8"/>
    <cellStyle name="Normaali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B4DBC5"/>
      <color rgb="FF3F6351"/>
      <color rgb="FF96B8A3"/>
      <color rgb="FF528269"/>
      <color rgb="FFCAE0B0"/>
      <color rgb="FF94C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560918</xdr:colOff>
      <xdr:row>0</xdr:row>
      <xdr:rowOff>137583</xdr:rowOff>
    </xdr:from>
    <xdr:to>
      <xdr:col>7</xdr:col>
      <xdr:colOff>370417</xdr:colOff>
      <xdr:row>5</xdr:row>
      <xdr:rowOff>105127</xdr:rowOff>
    </xdr:to>
    <xdr:pic>
      <xdr:nvPicPr>
        <xdr:cNvPr id="3" name="Picture 2" descr="The logo for Ekosetti in Euros. A black and white clapper with a recycling logo in the middle and a €-sign in a corner.">
          <a:extLst>
            <a:ext uri="{FF2B5EF4-FFF2-40B4-BE49-F238E27FC236}">
              <a16:creationId xmlns:a16="http://schemas.microsoft.com/office/drawing/2014/main" id="{443673B4-9857-0B95-2796-278D9AF0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29335" y="137583"/>
          <a:ext cx="2582332" cy="228529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0</xdr:row>
      <xdr:rowOff>576521</xdr:rowOff>
    </xdr:from>
    <xdr:to>
      <xdr:col>4</xdr:col>
      <xdr:colOff>465667</xdr:colOff>
      <xdr:row>3</xdr:row>
      <xdr:rowOff>613833</xdr:rowOff>
    </xdr:to>
    <xdr:pic>
      <xdr:nvPicPr>
        <xdr:cNvPr id="5" name="Picture 4" descr="Ekosetti in Euros -Excel logo, a green circle with white text inside, E€E">
          <a:extLst>
            <a:ext uri="{FF2B5EF4-FFF2-40B4-BE49-F238E27FC236}">
              <a16:creationId xmlns:a16="http://schemas.microsoft.com/office/drawing/2014/main" id="{95F3283E-FAF0-9FC8-1C47-1CEDC4C17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8918" y="576521"/>
          <a:ext cx="1545166" cy="1518979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285751</xdr:colOff>
      <xdr:row>5</xdr:row>
      <xdr:rowOff>264584</xdr:rowOff>
    </xdr:from>
    <xdr:to>
      <xdr:col>5</xdr:col>
      <xdr:colOff>330463</xdr:colOff>
      <xdr:row>5</xdr:row>
      <xdr:rowOff>1065499</xdr:rowOff>
    </xdr:to>
    <xdr:pic>
      <xdr:nvPicPr>
        <xdr:cNvPr id="4" name="Picture 3" descr="APFI’s logo, APFI in purple and below it in black text Audiovisual Producers Finland ">
          <a:extLst>
            <a:ext uri="{FF2B5EF4-FFF2-40B4-BE49-F238E27FC236}">
              <a16:creationId xmlns:a16="http://schemas.microsoft.com/office/drawing/2014/main" id="{B67DEF56-1826-4FD6-51D2-8220CF5D5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54168" y="2804584"/>
          <a:ext cx="1081878" cy="800915"/>
        </a:xfrm>
        <a:prstGeom prst="rect">
          <a:avLst/>
        </a:prstGeom>
      </xdr:spPr>
    </xdr:pic>
    <xdr:clientData/>
  </xdr:twoCellAnchor>
  <xdr:twoCellAnchor editAs="oneCell">
    <xdr:from>
      <xdr:col>5</xdr:col>
      <xdr:colOff>529168</xdr:colOff>
      <xdr:row>5</xdr:row>
      <xdr:rowOff>305386</xdr:rowOff>
    </xdr:from>
    <xdr:to>
      <xdr:col>8</xdr:col>
      <xdr:colOff>31750</xdr:colOff>
      <xdr:row>5</xdr:row>
      <xdr:rowOff>1030138</xdr:rowOff>
    </xdr:to>
    <xdr:pic>
      <xdr:nvPicPr>
        <xdr:cNvPr id="6" name="Picture 5" descr="In green text, avaus, and below it in Finnish, responsible audiovisual industry.">
          <a:extLst>
            <a:ext uri="{FF2B5EF4-FFF2-40B4-BE49-F238E27FC236}">
              <a16:creationId xmlns:a16="http://schemas.microsoft.com/office/drawing/2014/main" id="{8BE00390-76AE-B732-5698-CD56BFE3A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334751" y="2845386"/>
          <a:ext cx="1873249" cy="724752"/>
        </a:xfrm>
        <a:prstGeom prst="rect">
          <a:avLst/>
        </a:prstGeom>
      </xdr:spPr>
    </xdr:pic>
    <xdr:clientData/>
  </xdr:twoCellAnchor>
  <xdr:twoCellAnchor editAs="oneCell">
    <xdr:from>
      <xdr:col>1</xdr:col>
      <xdr:colOff>6910917</xdr:colOff>
      <xdr:row>5</xdr:row>
      <xdr:rowOff>444501</xdr:rowOff>
    </xdr:from>
    <xdr:to>
      <xdr:col>4</xdr:col>
      <xdr:colOff>116093</xdr:colOff>
      <xdr:row>5</xdr:row>
      <xdr:rowOff>954871</xdr:rowOff>
    </xdr:to>
    <xdr:pic>
      <xdr:nvPicPr>
        <xdr:cNvPr id="7" name="Picture 6" descr="EU-logo next to blue text Funded by the European Union, and under it in gray text NextGenerationEU">
          <a:extLst>
            <a:ext uri="{FF2B5EF4-FFF2-40B4-BE49-F238E27FC236}">
              <a16:creationId xmlns:a16="http://schemas.microsoft.com/office/drawing/2014/main" id="{14DEEF73-2FB0-7294-EBBC-5074D6B64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57584" y="2762251"/>
          <a:ext cx="2126926" cy="510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openco2.net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atmosfair.de/en/offset/flight/" TargetMode="External"/><Relationship Id="rId7" Type="http://schemas.openxmlformats.org/officeDocument/2006/relationships/hyperlink" Target="https://www.vr.fi/vinkkeja-junamatkailuun/uusilla-raiteilla/ymparisto" TargetMode="External"/><Relationship Id="rId12" Type="http://schemas.openxmlformats.org/officeDocument/2006/relationships/hyperlink" Target="http://www.ekosetti.fi/en" TargetMode="External"/><Relationship Id="rId2" Type="http://schemas.openxmlformats.org/officeDocument/2006/relationships/hyperlink" Target="https://www.icao.int/environmental-protection/CarbonOffset/Pages/default.aspx" TargetMode="External"/><Relationship Id="rId1" Type="http://schemas.openxmlformats.org/officeDocument/2006/relationships/hyperlink" Target="https://www.vero.fi/en/detailed-guidance/decisions/47405/tax-exempt-allowances-in-2025-for-business-travel/" TargetMode="External"/><Relationship Id="rId6" Type="http://schemas.openxmlformats.org/officeDocument/2006/relationships/hyperlink" Target="https://ilmastopaneeli.fi/autokalkulaattori/" TargetMode="External"/><Relationship Id="rId11" Type="http://schemas.openxmlformats.org/officeDocument/2006/relationships/hyperlink" Target="http://www.avaus.apfi.fi/en" TargetMode="External"/><Relationship Id="rId5" Type="http://schemas.openxmlformats.org/officeDocument/2006/relationships/hyperlink" Target="https://stat.fi/tup/khkinv/khkaasut_polttoaineluokitus.html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://www.apfi.fi/en" TargetMode="External"/><Relationship Id="rId4" Type="http://schemas.openxmlformats.org/officeDocument/2006/relationships/hyperlink" Target="https://lentolaskuri.fi/" TargetMode="External"/><Relationship Id="rId9" Type="http://schemas.openxmlformats.org/officeDocument/2006/relationships/hyperlink" Target="http://www.fingrid.fi/sahkomarkkinainformaatio/co2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5"/>
  <sheetViews>
    <sheetView tabSelected="1" zoomScale="110" zoomScaleNormal="110" workbookViewId="0">
      <selection activeCell="B2" sqref="B2"/>
    </sheetView>
  </sheetViews>
  <sheetFormatPr baseColWidth="10" defaultColWidth="11.1640625" defaultRowHeight="15" customHeight="1"/>
  <cols>
    <col min="2" max="2" width="93.1640625" customWidth="1"/>
    <col min="3" max="3" width="9.6640625" customWidth="1"/>
    <col min="4" max="4" width="14.1640625" customWidth="1"/>
    <col min="5" max="5" width="13.6640625" customWidth="1"/>
    <col min="6" max="6" width="14.5" customWidth="1"/>
    <col min="7" max="26" width="8.33203125" customWidth="1"/>
  </cols>
  <sheetData>
    <row r="1" spans="1:12" ht="80" customHeight="1">
      <c r="A1" s="184" t="s">
        <v>31</v>
      </c>
      <c r="B1" s="173" t="s">
        <v>28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75" customHeight="1">
      <c r="A2" s="8"/>
      <c r="B2" s="8"/>
      <c r="C2" s="8"/>
      <c r="D2" s="8"/>
      <c r="E2" s="164"/>
      <c r="F2" s="8"/>
      <c r="G2" s="8"/>
      <c r="H2" s="8"/>
      <c r="I2" s="8"/>
      <c r="J2" s="8"/>
      <c r="K2" s="8"/>
      <c r="L2" s="8"/>
    </row>
    <row r="3" spans="1:12" ht="22">
      <c r="A3" s="8"/>
      <c r="B3" s="231" t="s">
        <v>151</v>
      </c>
      <c r="C3" s="8"/>
      <c r="D3" s="8"/>
      <c r="E3" s="164"/>
      <c r="F3" s="8"/>
      <c r="G3" s="8"/>
      <c r="H3" s="8"/>
      <c r="I3" s="8"/>
      <c r="J3" s="8"/>
      <c r="K3" s="8"/>
      <c r="L3" s="8"/>
    </row>
    <row r="4" spans="1:12" ht="51">
      <c r="A4" s="8"/>
      <c r="B4" s="189" t="s">
        <v>152</v>
      </c>
      <c r="C4" s="8"/>
      <c r="D4" s="8"/>
      <c r="E4" s="164"/>
      <c r="F4" s="8"/>
      <c r="G4" s="8"/>
      <c r="H4" s="8"/>
      <c r="I4" s="8"/>
      <c r="J4" s="8"/>
      <c r="K4" s="8"/>
      <c r="L4" s="8"/>
    </row>
    <row r="5" spans="1:12" ht="15.75" customHeight="1">
      <c r="A5" s="8"/>
      <c r="B5" s="8"/>
      <c r="C5" s="8"/>
      <c r="D5" s="8"/>
      <c r="E5" s="164"/>
      <c r="F5" s="8"/>
      <c r="G5" s="8"/>
      <c r="H5" s="8"/>
      <c r="I5" s="8"/>
      <c r="J5" s="8"/>
      <c r="K5" s="8"/>
      <c r="L5" s="8"/>
    </row>
    <row r="6" spans="1:12" ht="102">
      <c r="A6" s="8"/>
      <c r="B6" s="232" t="s">
        <v>153</v>
      </c>
      <c r="C6" s="8"/>
      <c r="D6" s="8"/>
      <c r="E6" s="164"/>
      <c r="F6" s="8"/>
      <c r="G6" s="8"/>
      <c r="H6" s="8"/>
      <c r="I6" s="8"/>
      <c r="J6" s="8"/>
      <c r="K6" s="8"/>
      <c r="L6" s="8"/>
    </row>
    <row r="7" spans="1:12" ht="22">
      <c r="A7" s="8"/>
      <c r="B7" s="231"/>
      <c r="C7" s="8"/>
      <c r="D7" s="8"/>
      <c r="E7" s="164"/>
      <c r="F7" s="214" t="s">
        <v>225</v>
      </c>
      <c r="G7" s="8"/>
      <c r="H7" s="8"/>
      <c r="I7" s="8"/>
      <c r="J7" s="8"/>
      <c r="K7" s="8"/>
      <c r="L7" s="8"/>
    </row>
    <row r="8" spans="1:12" ht="22">
      <c r="A8" s="8"/>
      <c r="B8" s="231" t="s">
        <v>154</v>
      </c>
      <c r="C8" s="8"/>
      <c r="D8" s="8"/>
      <c r="E8" s="164"/>
      <c r="F8" s="214" t="s">
        <v>226</v>
      </c>
      <c r="G8" s="8"/>
      <c r="H8" s="8"/>
      <c r="I8" s="8"/>
      <c r="J8" s="8"/>
      <c r="K8" s="8"/>
      <c r="L8" s="8"/>
    </row>
    <row r="9" spans="1:12" ht="16">
      <c r="A9" s="8"/>
      <c r="B9" s="233"/>
      <c r="C9" s="8"/>
      <c r="D9" s="8"/>
      <c r="E9" s="164"/>
      <c r="F9" s="214" t="s">
        <v>227</v>
      </c>
      <c r="G9" s="8"/>
      <c r="H9" s="8"/>
      <c r="I9" s="8"/>
      <c r="J9" s="8"/>
      <c r="K9" s="8"/>
      <c r="L9" s="8"/>
    </row>
    <row r="10" spans="1:12" ht="68">
      <c r="A10" s="8"/>
      <c r="B10" s="174" t="s">
        <v>155</v>
      </c>
      <c r="C10" s="8"/>
      <c r="D10" s="8"/>
      <c r="E10" s="164"/>
      <c r="F10" s="8"/>
      <c r="G10" s="8"/>
      <c r="H10" s="8"/>
      <c r="I10" s="8"/>
      <c r="J10" s="8"/>
      <c r="K10" s="8"/>
      <c r="L10" s="8"/>
    </row>
    <row r="11" spans="1:12" ht="17">
      <c r="A11" s="8"/>
      <c r="B11" s="192" t="s">
        <v>32</v>
      </c>
      <c r="C11" s="8"/>
      <c r="D11" s="8"/>
      <c r="E11" s="164"/>
      <c r="F11" s="8"/>
      <c r="G11" s="8"/>
      <c r="H11" s="8"/>
      <c r="I11" s="8"/>
      <c r="J11" s="8"/>
      <c r="K11" s="8"/>
      <c r="L11" s="8"/>
    </row>
    <row r="12" spans="1:12" ht="17" thickBot="1">
      <c r="A12" s="8"/>
      <c r="B12" s="8"/>
      <c r="C12" s="190" t="s">
        <v>220</v>
      </c>
      <c r="D12" s="8"/>
      <c r="E12" s="164"/>
      <c r="F12" s="8"/>
      <c r="G12" s="8"/>
      <c r="H12" s="8"/>
      <c r="I12" s="8"/>
      <c r="J12" s="8"/>
      <c r="K12" s="8"/>
      <c r="L12" s="8"/>
    </row>
    <row r="13" spans="1:12" ht="17" thickBot="1">
      <c r="A13" s="8"/>
      <c r="B13" s="177"/>
      <c r="C13" s="191" t="s">
        <v>156</v>
      </c>
      <c r="D13" s="40">
        <v>250</v>
      </c>
      <c r="E13" s="164"/>
      <c r="F13" s="8"/>
      <c r="G13" s="8"/>
      <c r="H13" s="8"/>
      <c r="I13" s="8"/>
      <c r="J13" s="8"/>
      <c r="K13" s="8"/>
      <c r="L13" s="8"/>
    </row>
    <row r="14" spans="1:12" ht="16">
      <c r="A14" s="8"/>
      <c r="B14" s="174"/>
      <c r="C14" s="234" t="s">
        <v>157</v>
      </c>
      <c r="D14" s="91">
        <v>250</v>
      </c>
      <c r="E14" s="164"/>
      <c r="F14" s="8"/>
      <c r="G14" s="8"/>
      <c r="H14" s="8"/>
      <c r="I14" s="8"/>
      <c r="J14" s="8"/>
      <c r="K14" s="8"/>
      <c r="L14" s="8"/>
    </row>
    <row r="15" spans="1:12" ht="16">
      <c r="A15" s="8"/>
      <c r="B15" s="174"/>
      <c r="C15" s="202" t="s">
        <v>158</v>
      </c>
      <c r="D15" s="34">
        <v>250</v>
      </c>
      <c r="E15" s="164"/>
      <c r="F15" s="8"/>
      <c r="G15" s="8"/>
      <c r="H15" s="8"/>
      <c r="I15" s="8"/>
      <c r="J15" s="8"/>
      <c r="K15" s="8"/>
      <c r="L15" s="8"/>
    </row>
    <row r="16" spans="1:12" ht="16">
      <c r="A16" s="8"/>
      <c r="B16" s="174"/>
      <c r="C16" s="8"/>
      <c r="D16" s="8"/>
      <c r="E16" s="164"/>
      <c r="F16" s="8"/>
      <c r="G16" s="8"/>
      <c r="H16" s="8"/>
      <c r="I16" s="8"/>
      <c r="J16" s="8"/>
      <c r="K16" s="8"/>
      <c r="L16" s="8"/>
    </row>
    <row r="17" spans="1:12" ht="17">
      <c r="A17" s="8"/>
      <c r="B17" s="174" t="s">
        <v>159</v>
      </c>
      <c r="C17" s="8"/>
      <c r="D17" s="8"/>
      <c r="E17" s="164"/>
      <c r="F17" s="8"/>
      <c r="G17" s="8"/>
      <c r="H17" s="8"/>
      <c r="I17" s="8"/>
      <c r="J17" s="8"/>
      <c r="K17" s="8"/>
      <c r="L17" s="8"/>
    </row>
    <row r="18" spans="1:12" ht="16">
      <c r="A18" s="8"/>
      <c r="B18" s="203"/>
      <c r="C18" s="8"/>
      <c r="D18" s="8"/>
      <c r="E18" s="164"/>
      <c r="F18" s="8"/>
      <c r="G18" s="8"/>
      <c r="H18" s="8"/>
      <c r="I18" s="8"/>
      <c r="J18" s="8"/>
      <c r="K18" s="8"/>
      <c r="L18" s="8"/>
    </row>
    <row r="19" spans="1:12" ht="17">
      <c r="A19" s="8"/>
      <c r="B19" s="193" t="s">
        <v>160</v>
      </c>
      <c r="C19" s="8"/>
      <c r="D19" s="8"/>
      <c r="E19" s="164"/>
      <c r="F19" s="8"/>
      <c r="G19" s="8"/>
      <c r="H19" s="8"/>
      <c r="I19" s="8"/>
      <c r="J19" s="8"/>
      <c r="K19" s="8"/>
      <c r="L19" s="8"/>
    </row>
    <row r="20" spans="1:12" ht="17">
      <c r="A20" s="8"/>
      <c r="B20" s="174" t="s">
        <v>161</v>
      </c>
      <c r="C20" s="8"/>
      <c r="D20" s="8"/>
      <c r="E20" s="164"/>
      <c r="F20" s="8"/>
      <c r="G20" s="8"/>
      <c r="H20" s="8"/>
      <c r="I20" s="8"/>
      <c r="J20" s="8"/>
      <c r="K20" s="8"/>
      <c r="L20" s="8"/>
    </row>
    <row r="21" spans="1:12" ht="16">
      <c r="A21" s="8"/>
      <c r="B21" s="175" t="s">
        <v>231</v>
      </c>
      <c r="C21" s="8"/>
      <c r="D21" s="8"/>
      <c r="E21" s="164"/>
      <c r="F21" s="8"/>
      <c r="G21" s="8"/>
      <c r="H21" s="8"/>
      <c r="I21" s="8"/>
      <c r="J21" s="8"/>
      <c r="K21" s="8"/>
      <c r="L21" s="8"/>
    </row>
    <row r="22" spans="1:12" ht="24" customHeight="1">
      <c r="A22" s="8"/>
      <c r="B22" s="175"/>
      <c r="C22" s="8"/>
      <c r="D22" s="8"/>
      <c r="E22" s="164"/>
      <c r="F22" s="8"/>
      <c r="G22" s="8"/>
      <c r="H22" s="8"/>
      <c r="I22" s="8"/>
      <c r="J22" s="8"/>
      <c r="K22" s="8"/>
      <c r="L22" s="8"/>
    </row>
    <row r="23" spans="1:12" ht="22">
      <c r="A23" s="8"/>
      <c r="B23" s="231" t="s">
        <v>162</v>
      </c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6">
      <c r="A24" s="8"/>
      <c r="B24" s="233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34">
      <c r="A25" s="8"/>
      <c r="B25" s="189" t="s">
        <v>163</v>
      </c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6">
      <c r="A27" s="8"/>
      <c r="B27" s="166" t="s">
        <v>164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6">
      <c r="A28" s="8"/>
      <c r="B28" s="165" t="s">
        <v>165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6">
      <c r="A29" s="8"/>
      <c r="B29" s="167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6">
      <c r="A30" s="8"/>
      <c r="B30" s="166" t="s">
        <v>166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16">
      <c r="A31" s="8"/>
      <c r="B31" s="165" t="s">
        <v>27</v>
      </c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6">
      <c r="A32" s="8"/>
      <c r="B32" s="167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6">
      <c r="A33" s="8"/>
      <c r="B33" s="166" t="s">
        <v>167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6">
      <c r="A34" s="8"/>
      <c r="B34" s="165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6">
      <c r="A36" s="8"/>
      <c r="B36" s="166" t="s">
        <v>168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75" customHeight="1">
      <c r="A37" s="8"/>
      <c r="B37" s="165" t="s">
        <v>169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5.75" customHeight="1">
      <c r="A39" s="8"/>
      <c r="B39" s="168" t="s">
        <v>170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5.75" customHeight="1">
      <c r="A40" s="8"/>
      <c r="B40" s="8" t="s">
        <v>171</v>
      </c>
      <c r="C40" s="165"/>
      <c r="D40" s="8"/>
      <c r="E40" s="8"/>
      <c r="F40" s="8"/>
      <c r="G40" s="8"/>
      <c r="H40" s="8"/>
      <c r="I40" s="8"/>
      <c r="J40" s="8"/>
      <c r="K40" s="8"/>
      <c r="L40" s="8"/>
    </row>
    <row r="41" spans="1:12" ht="15.75" customHeight="1">
      <c r="A41" s="8"/>
      <c r="B41" s="41" t="s">
        <v>172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6">
      <c r="A42" s="8"/>
      <c r="B42" s="41" t="s">
        <v>173</v>
      </c>
      <c r="C42" s="8"/>
      <c r="D42" s="8"/>
      <c r="E42" s="8"/>
      <c r="F42" s="8"/>
      <c r="G42" s="8"/>
      <c r="H42" s="8"/>
      <c r="I42" s="8"/>
      <c r="J42" s="10"/>
      <c r="K42" s="8"/>
      <c r="L42" s="8"/>
    </row>
    <row r="43" spans="1:12" ht="16">
      <c r="A43" s="8"/>
      <c r="B43" s="8" t="s">
        <v>174</v>
      </c>
      <c r="C43" s="8"/>
      <c r="D43" s="8"/>
      <c r="E43" s="8"/>
      <c r="F43" s="8"/>
      <c r="G43" s="8"/>
      <c r="H43" s="8"/>
      <c r="I43" s="8"/>
      <c r="J43" s="10"/>
      <c r="K43" s="8"/>
      <c r="L43" s="8"/>
    </row>
    <row r="44" spans="1:12" ht="16">
      <c r="A44" s="8"/>
      <c r="B44" s="41" t="s">
        <v>33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6">
      <c r="A45" s="8"/>
      <c r="B45" s="41" t="s">
        <v>175</v>
      </c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5.75" customHeight="1">
      <c r="A47" s="8"/>
      <c r="B47" s="176" t="s">
        <v>176</v>
      </c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5.75" customHeight="1">
      <c r="A48" s="8"/>
      <c r="B48" s="166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5.75" customHeight="1">
      <c r="A49" s="8"/>
      <c r="B49" s="8" t="s">
        <v>177</v>
      </c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5.75" customHeight="1">
      <c r="A50" s="8"/>
      <c r="B50" s="235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5.75" customHeight="1">
      <c r="A51" s="8"/>
      <c r="B51" s="8" t="s">
        <v>178</v>
      </c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5.75" customHeight="1">
      <c r="A52" s="8"/>
      <c r="B52" s="165" t="s">
        <v>179</v>
      </c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5.75" customHeight="1">
      <c r="A53" s="8"/>
      <c r="B53" s="166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5.75" customHeight="1">
      <c r="A55" s="8"/>
      <c r="B55" s="11" t="s">
        <v>180</v>
      </c>
      <c r="C55" s="8"/>
      <c r="D55" s="8"/>
      <c r="E55" s="8"/>
      <c r="F55" s="14"/>
      <c r="G55" s="8"/>
      <c r="H55" s="8"/>
      <c r="I55" s="8"/>
      <c r="J55" s="8"/>
      <c r="K55" s="8"/>
      <c r="L55" s="8"/>
    </row>
    <row r="56" spans="1:12" ht="15.75" customHeight="1">
      <c r="A56" s="8"/>
      <c r="B56" s="8"/>
      <c r="C56" s="8"/>
      <c r="D56" s="8"/>
      <c r="E56" s="8"/>
      <c r="F56" s="14"/>
      <c r="G56" s="8"/>
      <c r="H56" s="8"/>
      <c r="I56" s="8"/>
      <c r="J56" s="8"/>
      <c r="K56" s="8"/>
      <c r="L56" s="8"/>
    </row>
    <row r="57" spans="1:12" ht="44" customHeight="1">
      <c r="A57" s="8"/>
      <c r="B57" s="194" t="s">
        <v>181</v>
      </c>
      <c r="C57" s="8"/>
      <c r="D57" s="35"/>
      <c r="E57" s="35"/>
      <c r="F57" s="35"/>
      <c r="G57" s="8"/>
      <c r="H57" s="8"/>
      <c r="I57" s="8"/>
      <c r="J57" s="8"/>
      <c r="K57" s="8"/>
      <c r="L57" s="8"/>
    </row>
    <row r="58" spans="1:12" ht="23" customHeight="1">
      <c r="A58" s="8"/>
      <c r="B58" s="236" t="s">
        <v>182</v>
      </c>
      <c r="C58" s="178" t="s">
        <v>13</v>
      </c>
      <c r="D58" s="178" t="s">
        <v>12</v>
      </c>
      <c r="E58" s="178" t="s">
        <v>11</v>
      </c>
      <c r="F58" s="8"/>
      <c r="G58" s="8"/>
      <c r="H58" s="8"/>
      <c r="I58" s="8"/>
      <c r="J58" s="8"/>
      <c r="K58" s="8"/>
      <c r="L58" s="8"/>
    </row>
    <row r="59" spans="1:12" ht="15.75" customHeight="1">
      <c r="A59" s="8"/>
      <c r="B59" s="237" t="s">
        <v>183</v>
      </c>
      <c r="C59" s="237">
        <v>767</v>
      </c>
      <c r="D59" s="238">
        <v>2304</v>
      </c>
      <c r="E59" s="238">
        <v>5264</v>
      </c>
      <c r="F59" s="195" t="s">
        <v>26</v>
      </c>
      <c r="G59" s="8"/>
      <c r="H59" s="8"/>
      <c r="I59" s="8"/>
      <c r="J59" s="8"/>
      <c r="K59" s="8"/>
      <c r="L59" s="8"/>
    </row>
    <row r="60" spans="1:12" ht="15.75" customHeight="1">
      <c r="A60" s="8"/>
      <c r="B60" s="237" t="s">
        <v>184</v>
      </c>
      <c r="C60" s="237">
        <v>246</v>
      </c>
      <c r="D60" s="237">
        <v>392</v>
      </c>
      <c r="E60" s="237">
        <v>670</v>
      </c>
      <c r="F60" s="195" t="s">
        <v>26</v>
      </c>
      <c r="G60" s="8"/>
      <c r="H60" s="8"/>
      <c r="I60" s="8"/>
      <c r="J60" s="8"/>
      <c r="K60" s="8"/>
      <c r="L60" s="8"/>
    </row>
    <row r="61" spans="1:12" ht="15.75" customHeight="1">
      <c r="A61" s="8"/>
      <c r="B61" s="237" t="s">
        <v>185</v>
      </c>
      <c r="C61" s="237">
        <v>201</v>
      </c>
      <c r="D61" s="237">
        <v>316</v>
      </c>
      <c r="E61" s="237">
        <v>436</v>
      </c>
      <c r="F61" s="195" t="s">
        <v>26</v>
      </c>
      <c r="G61" s="8"/>
      <c r="H61" s="8"/>
      <c r="I61" s="8"/>
      <c r="J61" s="8"/>
      <c r="K61" s="8"/>
      <c r="L61" s="8"/>
    </row>
    <row r="62" spans="1:12" ht="15.75" customHeight="1">
      <c r="A62" s="8"/>
      <c r="B62" s="237" t="s">
        <v>34</v>
      </c>
      <c r="C62" s="237">
        <v>114</v>
      </c>
      <c r="D62" s="237">
        <v>209</v>
      </c>
      <c r="E62" s="237">
        <v>250</v>
      </c>
      <c r="F62" s="195" t="s">
        <v>26</v>
      </c>
      <c r="G62" s="8"/>
      <c r="H62" s="8"/>
      <c r="I62" s="8"/>
      <c r="J62" s="8"/>
      <c r="K62" s="8"/>
      <c r="L62" s="8"/>
    </row>
    <row r="63" spans="1:12" ht="15.75" customHeight="1">
      <c r="A63" s="8"/>
      <c r="B63" s="169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5.75" customHeight="1">
      <c r="A64" s="8"/>
      <c r="B64" s="167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5.75" customHeight="1">
      <c r="A65" s="8"/>
      <c r="B65" s="166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.75" customHeight="1">
      <c r="A66" s="8"/>
      <c r="B66" s="170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5.75" customHeight="1">
      <c r="A67" s="8"/>
      <c r="B67" s="170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5.75" customHeight="1">
      <c r="A68" s="8"/>
      <c r="B68" s="166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5.75" customHeight="1">
      <c r="A70" s="8"/>
      <c r="B70" s="8"/>
      <c r="C70" s="41"/>
      <c r="D70" s="8"/>
      <c r="E70" s="8"/>
      <c r="F70" s="8"/>
      <c r="G70" s="8"/>
      <c r="H70" s="8"/>
      <c r="I70" s="8"/>
      <c r="J70" s="8"/>
      <c r="K70" s="8"/>
      <c r="L70" s="8"/>
    </row>
    <row r="71" spans="1:12" ht="15.75" customHeight="1">
      <c r="A71" s="8"/>
      <c r="B71" s="8"/>
      <c r="C71" s="41"/>
      <c r="D71" s="8"/>
      <c r="E71" s="8"/>
      <c r="F71" s="8"/>
      <c r="G71" s="8"/>
      <c r="H71" s="8"/>
      <c r="I71" s="8"/>
      <c r="J71" s="8"/>
      <c r="K71" s="8"/>
      <c r="L71" s="8"/>
    </row>
    <row r="72" spans="1:12" ht="15.75" customHeight="1">
      <c r="A72" s="8"/>
      <c r="B72" s="166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15.75" customHeight="1">
      <c r="A73" s="8"/>
      <c r="B73" s="167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5.75" customHeight="1">
      <c r="A74" s="8"/>
      <c r="B74" s="166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5.75" customHeight="1">
      <c r="A75" s="8"/>
      <c r="B75" s="176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ht="15.75" customHeight="1">
      <c r="A76" s="8"/>
      <c r="B76" s="176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15.75" customHeight="1">
      <c r="A78" s="8"/>
      <c r="B78" s="167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ht="15.75" customHeight="1">
      <c r="A79" s="8"/>
      <c r="B79" s="176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ht="15.75" customHeight="1">
      <c r="A80" s="8"/>
      <c r="B80" s="176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15.75" customHeight="1">
      <c r="A81" s="8"/>
      <c r="B81" s="176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15.75" customHeight="1">
      <c r="A82" s="8"/>
      <c r="B82" s="176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16">
      <c r="A83" s="8"/>
      <c r="B83" s="166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15.75" customHeight="1">
      <c r="A84" s="8"/>
      <c r="B84" s="167"/>
      <c r="C84" s="167"/>
      <c r="D84" s="8"/>
      <c r="E84" s="8"/>
      <c r="F84" s="8"/>
      <c r="G84" s="8"/>
      <c r="H84" s="8"/>
      <c r="I84" s="8"/>
      <c r="J84" s="8"/>
      <c r="K84" s="8"/>
      <c r="L84" s="8"/>
    </row>
    <row r="85" spans="1:12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5.75" customHeight="1">
      <c r="B86" s="217"/>
      <c r="F86" s="53"/>
      <c r="G86" s="53"/>
    </row>
    <row r="87" spans="1:12" ht="15.75" customHeight="1">
      <c r="F87" s="53"/>
      <c r="G87" s="53"/>
    </row>
    <row r="88" spans="1:12" ht="15.75" customHeight="1">
      <c r="B88" s="216"/>
      <c r="D88" s="219"/>
      <c r="E88" s="220"/>
    </row>
    <row r="89" spans="1:12" ht="15.75" customHeight="1">
      <c r="B89" s="215"/>
    </row>
    <row r="90" spans="1:12" ht="15.75" customHeight="1">
      <c r="A90" s="53"/>
      <c r="B90" s="221"/>
      <c r="C90" s="53"/>
      <c r="D90" s="53"/>
      <c r="E90" s="53"/>
      <c r="F90" s="53"/>
      <c r="G90" s="53"/>
    </row>
    <row r="91" spans="1:12" ht="15.75" customHeight="1">
      <c r="A91" s="53"/>
      <c r="B91" s="53"/>
      <c r="C91" s="53"/>
      <c r="D91" s="222"/>
      <c r="E91" s="222"/>
      <c r="F91" s="222"/>
      <c r="G91" s="53"/>
    </row>
    <row r="92" spans="1:12" ht="15.75" customHeight="1">
      <c r="A92" s="53"/>
      <c r="B92" s="223"/>
      <c r="C92" s="223"/>
      <c r="D92" s="224"/>
      <c r="E92" s="225"/>
      <c r="F92" s="224"/>
      <c r="G92" s="53"/>
    </row>
    <row r="93" spans="1:12" ht="15.75" customHeight="1">
      <c r="A93" s="53"/>
      <c r="B93" s="223"/>
      <c r="C93" s="226"/>
      <c r="D93" s="227"/>
      <c r="E93" s="228"/>
      <c r="F93" s="228"/>
      <c r="G93" s="229"/>
    </row>
    <row r="94" spans="1:12" ht="15.75" customHeight="1">
      <c r="A94" s="53"/>
      <c r="B94" s="223"/>
      <c r="C94" s="226"/>
      <c r="D94" s="227"/>
      <c r="E94" s="227"/>
      <c r="F94" s="227"/>
      <c r="G94" s="229"/>
    </row>
    <row r="95" spans="1:12" ht="15.75" customHeight="1">
      <c r="A95" s="53"/>
      <c r="B95" s="223"/>
      <c r="C95" s="226"/>
      <c r="D95" s="227"/>
      <c r="E95" s="227"/>
      <c r="F95" s="227"/>
      <c r="G95" s="229"/>
    </row>
    <row r="96" spans="1:12" ht="15.75" customHeight="1">
      <c r="A96" s="53"/>
      <c r="B96" s="223"/>
      <c r="C96" s="230"/>
      <c r="D96" s="227"/>
      <c r="E96" s="227"/>
      <c r="F96" s="227"/>
      <c r="G96" s="229"/>
    </row>
    <row r="97" spans="1:7" ht="15.75" customHeight="1">
      <c r="A97" s="53"/>
      <c r="B97" s="53"/>
      <c r="C97" s="53"/>
      <c r="D97" s="53"/>
      <c r="E97" s="53"/>
      <c r="F97" s="53"/>
      <c r="G97" s="53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spans="3:3" ht="15.75" customHeight="1"/>
    <row r="114" spans="3:3" ht="15.75" customHeight="1"/>
    <row r="115" spans="3:3" ht="15.75" customHeight="1"/>
    <row r="116" spans="3:3" ht="15.75" customHeight="1"/>
    <row r="117" spans="3:3" ht="15.75" customHeight="1">
      <c r="C117" s="218"/>
    </row>
    <row r="118" spans="3:3" ht="15.75" customHeight="1"/>
    <row r="119" spans="3:3" ht="15.75" customHeight="1"/>
    <row r="120" spans="3:3" ht="15.75" customHeight="1"/>
    <row r="121" spans="3:3" ht="15.75" customHeight="1"/>
    <row r="122" spans="3:3" ht="15.75" customHeight="1"/>
    <row r="123" spans="3:3" ht="15.75" customHeight="1"/>
    <row r="124" spans="3:3" ht="15.75" customHeight="1"/>
    <row r="125" spans="3:3" ht="15.75" customHeight="1"/>
    <row r="126" spans="3:3" ht="15.75" customHeight="1"/>
    <row r="127" spans="3:3" ht="15.75" customHeight="1"/>
    <row r="128" spans="3:3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</sheetData>
  <sheetProtection sheet="1" objects="1" scenarios="1"/>
  <hyperlinks>
    <hyperlink ref="B21" r:id="rId1" display="https://www.vero.fi/en/detailed-guidance/decisions/47405/tax-exempt-allowances-in-2025-for-business-travel/" xr:uid="{BEC8941A-880C-E049-9A1D-CDD7DD64EBBF}"/>
    <hyperlink ref="C58" r:id="rId2" tooltip="ICAO" xr:uid="{0F02C3D8-1D05-6F42-8FE8-BE5449DB0E3B}"/>
    <hyperlink ref="E58" r:id="rId3" tooltip="Atmosfair" xr:uid="{D7BAD699-EEC7-DE42-9A13-10F88A24F905}"/>
    <hyperlink ref="D58" r:id="rId4" tooltip="lentolaskuri.fi, flight calculator" xr:uid="{1ACBCFB1-4C24-214B-93D1-5D8B5BEB3C39}"/>
    <hyperlink ref="B34" r:id="rId5" tooltip="Statistics central, fuel categorization" xr:uid="{0FB2FA3C-6493-1D44-B249-9602229A129A}"/>
    <hyperlink ref="B31" r:id="rId6" tooltip="ilmastopaneeli.fi, fuel type costs and emissions" xr:uid="{5DB23D40-7B2D-FD40-97A7-154F4B616FA8}"/>
    <hyperlink ref="B37" r:id="rId7" tooltip="VR, carbon calculator" xr:uid="{DF25431E-5833-034D-B50B-2DDE4C68A305}"/>
    <hyperlink ref="B28" r:id="rId8" tooltip="OpenCO2.net" xr:uid="{892820B7-7E88-7342-90B0-5D9C181E084F}"/>
    <hyperlink ref="B52" r:id="rId9" tooltip="Fingrid, electricity grid information" xr:uid="{86C9BDA9-7A32-2B46-8B18-54AF35149B6F}"/>
    <hyperlink ref="F7" r:id="rId10" xr:uid="{CDDD74CA-8C31-924C-AC79-099D32F6DA0C}"/>
    <hyperlink ref="F8" r:id="rId11" xr:uid="{107CF4C4-E577-9445-85ED-58CF0EF302CA}"/>
    <hyperlink ref="F9" r:id="rId12" xr:uid="{C66B3DD2-10E1-3241-991C-FC2047D89F10}"/>
  </hyperlinks>
  <pageMargins left="0.7" right="0.7" top="0.75" bottom="0.75" header="0" footer="0"/>
  <pageSetup orientation="landscape"/>
  <drawing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17"/>
  <sheetViews>
    <sheetView zoomScale="130" zoomScaleNormal="130" workbookViewId="0">
      <selection activeCell="F16" sqref="F16"/>
    </sheetView>
  </sheetViews>
  <sheetFormatPr baseColWidth="10" defaultColWidth="11.1640625" defaultRowHeight="15" customHeight="1"/>
  <cols>
    <col min="1" max="1" width="12.5" customWidth="1"/>
    <col min="2" max="2" width="2.5" customWidth="1"/>
    <col min="3" max="3" width="32.83203125" customWidth="1"/>
    <col min="4" max="4" width="12.33203125" customWidth="1"/>
    <col min="5" max="5" width="10.1640625" customWidth="1"/>
    <col min="6" max="6" width="8.5" customWidth="1"/>
    <col min="7" max="7" width="35.33203125" customWidth="1"/>
    <col min="8" max="8" width="10.83203125" customWidth="1"/>
    <col min="9" max="10" width="8.5" customWidth="1"/>
    <col min="11" max="11" width="17.83203125" customWidth="1"/>
    <col min="12" max="27" width="8.5" customWidth="1"/>
  </cols>
  <sheetData>
    <row r="1" spans="1:17" ht="50" customHeight="1">
      <c r="A1" s="184" t="s">
        <v>56</v>
      </c>
      <c r="B1" s="8"/>
      <c r="C1" s="121" t="s">
        <v>35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6">
      <c r="A2" s="8"/>
      <c r="B2" s="8"/>
      <c r="C2" s="20"/>
      <c r="D2" s="8"/>
      <c r="E2" s="8"/>
      <c r="F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2">
      <c r="A3" s="8"/>
      <c r="B3" s="8"/>
      <c r="C3" s="19" t="s">
        <v>36</v>
      </c>
      <c r="D3" s="8"/>
      <c r="E3" s="8"/>
      <c r="F3" s="8"/>
      <c r="G3" s="100" t="s">
        <v>41</v>
      </c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6" customHeight="1">
      <c r="B4" s="112"/>
      <c r="C4" s="1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23" thickBot="1">
      <c r="A5" s="239" t="s">
        <v>37</v>
      </c>
      <c r="B5" s="153"/>
      <c r="C5" s="98" t="s">
        <v>221</v>
      </c>
      <c r="D5" s="36"/>
      <c r="E5" s="29"/>
      <c r="F5" s="8"/>
      <c r="G5" s="31" t="s">
        <v>51</v>
      </c>
      <c r="H5" s="8"/>
      <c r="I5" s="8"/>
      <c r="J5" s="8"/>
      <c r="K5" s="19" t="s">
        <v>219</v>
      </c>
      <c r="L5" s="8"/>
      <c r="M5" s="8"/>
      <c r="N5" s="8"/>
      <c r="O5" s="8"/>
      <c r="P5" s="8"/>
      <c r="Q5" s="8"/>
    </row>
    <row r="6" spans="1:17" ht="17" thickBot="1">
      <c r="A6" s="239"/>
      <c r="B6" s="153"/>
      <c r="C6" s="111"/>
      <c r="D6" s="36"/>
      <c r="E6" s="29"/>
      <c r="F6" s="8"/>
      <c r="G6" s="32" t="s">
        <v>42</v>
      </c>
      <c r="H6" s="103">
        <v>2.08</v>
      </c>
      <c r="I6" s="8" t="s">
        <v>16</v>
      </c>
      <c r="J6" s="8"/>
      <c r="K6" s="58" t="s">
        <v>186</v>
      </c>
      <c r="L6" s="145">
        <v>250</v>
      </c>
      <c r="M6" s="8"/>
      <c r="N6" s="8"/>
      <c r="O6" s="8"/>
      <c r="P6" s="8"/>
      <c r="Q6" s="8"/>
    </row>
    <row r="7" spans="1:17" ht="17" thickBot="1">
      <c r="A7" s="239"/>
      <c r="B7" s="153"/>
      <c r="C7" s="15" t="s">
        <v>38</v>
      </c>
      <c r="D7" s="37">
        <f>H6*H8*H14</f>
        <v>31.200000000000003</v>
      </c>
      <c r="E7" s="30" t="s">
        <v>17</v>
      </c>
      <c r="F7" s="8"/>
      <c r="G7" s="18" t="s">
        <v>43</v>
      </c>
      <c r="H7" s="103">
        <v>1.67</v>
      </c>
      <c r="I7" s="8" t="s">
        <v>1</v>
      </c>
      <c r="J7" s="8"/>
      <c r="K7" s="196" t="s">
        <v>187</v>
      </c>
      <c r="L7" s="147">
        <v>250</v>
      </c>
      <c r="M7" s="8"/>
      <c r="N7" s="8"/>
      <c r="O7" s="8"/>
      <c r="P7" s="8"/>
      <c r="Q7" s="8"/>
    </row>
    <row r="8" spans="1:17" ht="15.75" customHeight="1">
      <c r="A8" s="239"/>
      <c r="B8" s="153"/>
      <c r="C8" s="15" t="s">
        <v>39</v>
      </c>
      <c r="D8" s="37">
        <f>H6*H9*H14</f>
        <v>40.56</v>
      </c>
      <c r="E8" s="30" t="s">
        <v>17</v>
      </c>
      <c r="F8" s="8"/>
      <c r="G8" s="18" t="s">
        <v>44</v>
      </c>
      <c r="H8" s="104">
        <v>1</v>
      </c>
      <c r="I8" s="8" t="s">
        <v>18</v>
      </c>
      <c r="J8" s="8"/>
      <c r="K8" s="58" t="s">
        <v>188</v>
      </c>
      <c r="L8" s="148">
        <v>250</v>
      </c>
      <c r="M8" s="8"/>
      <c r="N8" s="8"/>
      <c r="O8" s="8"/>
      <c r="P8" s="8"/>
      <c r="Q8" s="8"/>
    </row>
    <row r="9" spans="1:17" ht="16">
      <c r="A9" s="239"/>
      <c r="B9" s="153"/>
      <c r="C9" s="30"/>
      <c r="D9" s="38"/>
      <c r="E9" s="29"/>
      <c r="F9" s="8"/>
      <c r="G9" s="18" t="s">
        <v>45</v>
      </c>
      <c r="H9" s="197">
        <f>H8*1.3</f>
        <v>1.3</v>
      </c>
      <c r="I9" s="198" t="s">
        <v>18</v>
      </c>
      <c r="J9" s="8"/>
      <c r="K9" s="8"/>
      <c r="L9" s="8"/>
      <c r="M9" s="8"/>
      <c r="N9" s="8"/>
      <c r="O9" s="8"/>
      <c r="P9" s="8"/>
      <c r="Q9" s="8"/>
    </row>
    <row r="10" spans="1:17" ht="16">
      <c r="A10" s="239"/>
      <c r="B10" s="113"/>
      <c r="C10" s="8"/>
      <c r="D10" s="39"/>
      <c r="E10" s="8"/>
      <c r="F10" s="8"/>
      <c r="G10" s="8"/>
      <c r="H10" s="35"/>
      <c r="I10" s="8"/>
      <c r="J10" s="8"/>
      <c r="K10" s="8"/>
      <c r="L10" s="8"/>
      <c r="M10" s="8"/>
      <c r="N10" s="8"/>
      <c r="O10" s="8"/>
      <c r="P10" s="8"/>
      <c r="Q10" s="8"/>
    </row>
    <row r="11" spans="1:17" ht="23" thickBot="1">
      <c r="A11" s="239"/>
      <c r="B11" s="153"/>
      <c r="C11" s="98" t="s">
        <v>222</v>
      </c>
      <c r="D11" s="38"/>
      <c r="E11" s="29"/>
      <c r="F11" s="8"/>
      <c r="G11" s="31" t="s">
        <v>46</v>
      </c>
      <c r="H11" s="35"/>
      <c r="I11" s="8"/>
      <c r="J11" s="8"/>
      <c r="K11" s="8"/>
      <c r="L11" s="8"/>
      <c r="M11" s="8"/>
      <c r="N11" s="8"/>
      <c r="O11" s="8"/>
      <c r="P11" s="8"/>
      <c r="Q11" s="8"/>
    </row>
    <row r="12" spans="1:17" ht="15.75" customHeight="1" thickBot="1">
      <c r="A12" s="239"/>
      <c r="B12" s="153"/>
      <c r="C12" s="28"/>
      <c r="D12" s="38"/>
      <c r="E12" s="29"/>
      <c r="F12" s="8"/>
      <c r="G12" s="27" t="s">
        <v>47</v>
      </c>
      <c r="H12" s="129">
        <v>0.5</v>
      </c>
      <c r="I12" s="8" t="s">
        <v>15</v>
      </c>
      <c r="J12" s="8"/>
      <c r="K12" s="8"/>
      <c r="L12" s="8"/>
      <c r="M12" s="8"/>
      <c r="N12" s="8"/>
      <c r="O12" s="8"/>
      <c r="P12" s="8"/>
      <c r="Q12" s="8"/>
    </row>
    <row r="13" spans="1:17" ht="15.75" customHeight="1" thickBot="1">
      <c r="A13" s="239"/>
      <c r="B13" s="153"/>
      <c r="C13" s="15" t="s">
        <v>40</v>
      </c>
      <c r="D13" s="37">
        <f>H7*H8*H14</f>
        <v>25.049999999999997</v>
      </c>
      <c r="E13" s="30" t="s">
        <v>9</v>
      </c>
      <c r="F13" s="8"/>
      <c r="G13" s="27" t="s">
        <v>48</v>
      </c>
      <c r="H13" s="128">
        <v>30</v>
      </c>
      <c r="I13" s="8" t="s">
        <v>50</v>
      </c>
      <c r="J13" s="8"/>
      <c r="K13" s="120"/>
      <c r="L13" s="8"/>
      <c r="M13" s="8"/>
      <c r="N13" s="8"/>
      <c r="O13" s="8"/>
      <c r="P13" s="8"/>
      <c r="Q13" s="8"/>
    </row>
    <row r="14" spans="1:17" ht="15.75" customHeight="1">
      <c r="A14" s="239"/>
      <c r="B14" s="153"/>
      <c r="C14" s="15" t="s">
        <v>39</v>
      </c>
      <c r="D14" s="37">
        <f>H7*H9*H14</f>
        <v>32.564999999999998</v>
      </c>
      <c r="E14" s="30" t="s">
        <v>9</v>
      </c>
      <c r="F14" s="8"/>
      <c r="G14" s="18" t="s">
        <v>49</v>
      </c>
      <c r="H14" s="127">
        <f>H12*H13</f>
        <v>15</v>
      </c>
      <c r="I14" s="8" t="s">
        <v>15</v>
      </c>
      <c r="J14" s="8"/>
      <c r="K14" s="8"/>
      <c r="L14" s="8"/>
      <c r="M14" s="8"/>
      <c r="N14" s="8"/>
      <c r="O14" s="8"/>
      <c r="P14" s="8"/>
      <c r="Q14" s="8"/>
    </row>
    <row r="15" spans="1:17" ht="15.75" customHeight="1">
      <c r="A15" s="239"/>
      <c r="B15" s="153"/>
      <c r="C15" s="30"/>
      <c r="D15" s="29"/>
      <c r="E15" s="29"/>
      <c r="F15" s="8"/>
      <c r="G15" s="8"/>
      <c r="H15" s="35"/>
      <c r="I15" s="8"/>
      <c r="J15" s="8"/>
      <c r="K15" s="8"/>
      <c r="L15" s="8"/>
      <c r="M15" s="8"/>
      <c r="N15" s="8"/>
      <c r="O15" s="8"/>
      <c r="P15" s="8"/>
      <c r="Q15" s="8"/>
    </row>
    <row r="16" spans="1:17" ht="15.75" customHeight="1">
      <c r="A16" s="114"/>
      <c r="B16" s="113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6">
      <c r="A17" s="8"/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sheetProtection sheet="1" objects="1" scenarios="1"/>
  <mergeCells count="1">
    <mergeCell ref="A5:A15"/>
  </mergeCells>
  <pageMargins left="0.7" right="0.7" top="0.75" bottom="0.75" header="0" footer="0"/>
  <pageSetup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021"/>
  <sheetViews>
    <sheetView topLeftCell="A8" zoomScale="120" zoomScaleNormal="120" workbookViewId="0">
      <selection activeCell="G15" sqref="G15"/>
    </sheetView>
  </sheetViews>
  <sheetFormatPr baseColWidth="10" defaultColWidth="11.1640625" defaultRowHeight="15" customHeight="1"/>
  <cols>
    <col min="1" max="1" width="12.5" customWidth="1"/>
    <col min="2" max="2" width="2.5" customWidth="1"/>
    <col min="3" max="3" width="20.5" customWidth="1"/>
    <col min="4" max="4" width="13.33203125" customWidth="1"/>
    <col min="5" max="5" width="17" customWidth="1"/>
    <col min="6" max="6" width="7.1640625" customWidth="1"/>
    <col min="7" max="7" width="31.1640625" customWidth="1"/>
    <col min="8" max="8" width="12.33203125" customWidth="1"/>
    <col min="9" max="9" width="11" customWidth="1"/>
    <col min="10" max="10" width="9" customWidth="1"/>
    <col min="11" max="11" width="17.83203125" customWidth="1"/>
    <col min="12" max="26" width="8.5" customWidth="1"/>
  </cols>
  <sheetData>
    <row r="1" spans="1:18" ht="50" customHeight="1">
      <c r="A1" s="184" t="s">
        <v>56</v>
      </c>
      <c r="B1" s="8"/>
      <c r="C1" s="121" t="s">
        <v>52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2">
      <c r="A2" s="8"/>
      <c r="B2" s="8"/>
      <c r="C2" s="2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6">
      <c r="A3" s="8"/>
      <c r="B3" s="8"/>
      <c r="C3" s="19" t="s">
        <v>53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6">
      <c r="A4" s="8"/>
      <c r="B4" s="8"/>
      <c r="C4" s="19" t="s">
        <v>54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6">
      <c r="A5" s="8"/>
      <c r="B5" s="8"/>
      <c r="C5" s="19" t="s">
        <v>55</v>
      </c>
      <c r="D5" s="8"/>
      <c r="E5" s="8"/>
      <c r="F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2">
      <c r="A6" s="8"/>
      <c r="B6" s="8"/>
      <c r="C6" s="19"/>
      <c r="D6" s="8"/>
      <c r="E6" s="8"/>
      <c r="F6" s="8"/>
      <c r="G6" s="100" t="s">
        <v>41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3" thickBot="1">
      <c r="A7" s="240" t="s">
        <v>37</v>
      </c>
      <c r="B7" s="158"/>
      <c r="C7" s="98" t="s">
        <v>60</v>
      </c>
      <c r="D7" s="51"/>
      <c r="E7" s="51"/>
      <c r="F7" s="41"/>
      <c r="G7" s="31" t="s">
        <v>61</v>
      </c>
      <c r="H7" s="8"/>
      <c r="I7" s="8"/>
      <c r="J7" s="8"/>
      <c r="K7" s="19" t="s">
        <v>219</v>
      </c>
      <c r="L7" s="8"/>
      <c r="M7" s="8"/>
      <c r="N7" s="8"/>
      <c r="O7" s="8"/>
      <c r="P7" s="8"/>
      <c r="Q7" s="8"/>
      <c r="R7" s="8"/>
    </row>
    <row r="8" spans="1:18" ht="17" thickBot="1">
      <c r="A8" s="240"/>
      <c r="B8" s="158"/>
      <c r="C8" s="28"/>
      <c r="D8" s="51"/>
      <c r="E8" s="51"/>
      <c r="F8" s="41"/>
      <c r="G8" s="48" t="s">
        <v>42</v>
      </c>
      <c r="H8" s="69">
        <v>2.21</v>
      </c>
      <c r="I8" s="41" t="s">
        <v>16</v>
      </c>
      <c r="J8" s="41"/>
      <c r="K8" s="58" t="s">
        <v>186</v>
      </c>
      <c r="L8" s="145">
        <v>250</v>
      </c>
      <c r="M8" s="13"/>
      <c r="N8" s="8"/>
      <c r="O8" s="8"/>
      <c r="P8" s="8"/>
      <c r="Q8" s="8"/>
      <c r="R8" s="8"/>
    </row>
    <row r="9" spans="1:18" ht="15" customHeight="1" thickBot="1">
      <c r="A9" s="240"/>
      <c r="B9" s="158"/>
      <c r="C9" s="150" t="s">
        <v>58</v>
      </c>
      <c r="D9" s="160">
        <f>ABS(H18-I18)</f>
        <v>81.899999999999977</v>
      </c>
      <c r="E9" s="52" t="s">
        <v>9</v>
      </c>
      <c r="F9" s="41"/>
      <c r="G9" s="48" t="s">
        <v>62</v>
      </c>
      <c r="H9" s="86">
        <v>1.67</v>
      </c>
      <c r="I9" t="s">
        <v>1</v>
      </c>
      <c r="J9" s="41"/>
      <c r="K9" s="196" t="s">
        <v>187</v>
      </c>
      <c r="L9" s="147">
        <v>250</v>
      </c>
      <c r="M9" s="13"/>
      <c r="N9" s="8"/>
      <c r="O9" s="8"/>
      <c r="P9" s="8"/>
      <c r="Q9" s="8"/>
      <c r="R9" s="8"/>
    </row>
    <row r="10" spans="1:18" ht="15" customHeight="1" thickBot="1">
      <c r="A10" s="240"/>
      <c r="B10" s="158"/>
      <c r="C10" s="150" t="s">
        <v>59</v>
      </c>
      <c r="D10" s="161">
        <f>-(ABS(I19-H19))</f>
        <v>-66.30000000000004</v>
      </c>
      <c r="E10" s="52" t="s">
        <v>17</v>
      </c>
      <c r="F10" s="41"/>
      <c r="G10" s="47" t="s">
        <v>63</v>
      </c>
      <c r="H10" s="106">
        <v>15</v>
      </c>
      <c r="I10" s="41" t="s">
        <v>18</v>
      </c>
      <c r="J10" s="41"/>
      <c r="K10" s="58" t="s">
        <v>188</v>
      </c>
      <c r="L10" s="148">
        <v>250</v>
      </c>
      <c r="M10" s="13"/>
      <c r="N10" s="8"/>
      <c r="O10" s="8"/>
      <c r="P10" s="8"/>
      <c r="Q10" s="8"/>
      <c r="R10" s="8"/>
    </row>
    <row r="11" spans="1:18" ht="15" customHeight="1">
      <c r="A11" s="240"/>
      <c r="B11" s="158"/>
      <c r="C11" s="51"/>
      <c r="D11" s="159"/>
      <c r="E11" s="51"/>
      <c r="F11" s="41"/>
      <c r="G11" s="43" t="s">
        <v>64</v>
      </c>
      <c r="H11" s="50">
        <f>H9*H10</f>
        <v>25.049999999999997</v>
      </c>
      <c r="I11" s="44" t="s">
        <v>19</v>
      </c>
      <c r="J11" s="41"/>
      <c r="K11" s="8"/>
      <c r="L11" s="8"/>
      <c r="M11" s="13"/>
      <c r="N11" s="8"/>
      <c r="O11" s="8"/>
      <c r="P11" s="8"/>
      <c r="Q11" s="8"/>
      <c r="R11" s="8"/>
    </row>
    <row r="12" spans="1:18" ht="16">
      <c r="A12" s="240"/>
      <c r="B12" s="112"/>
      <c r="C12" s="19"/>
      <c r="D12" s="39"/>
      <c r="E12" s="105"/>
      <c r="F12" s="41"/>
      <c r="G12" s="43" t="s">
        <v>223</v>
      </c>
      <c r="H12" s="49">
        <v>15.9</v>
      </c>
      <c r="I12" s="44" t="s">
        <v>19</v>
      </c>
      <c r="J12" s="41"/>
      <c r="K12" s="8"/>
      <c r="L12" s="41"/>
      <c r="M12" s="13"/>
      <c r="N12" s="8"/>
      <c r="O12" s="8"/>
      <c r="P12" s="8"/>
      <c r="Q12" s="8"/>
      <c r="R12" s="8"/>
    </row>
    <row r="13" spans="1:18" ht="22">
      <c r="A13" s="240"/>
      <c r="B13" s="158"/>
      <c r="C13" s="98" t="s">
        <v>57</v>
      </c>
      <c r="D13" s="159"/>
      <c r="E13" s="51"/>
      <c r="F13" s="41"/>
      <c r="G13" s="41"/>
      <c r="H13" s="41"/>
      <c r="J13" s="41"/>
      <c r="K13" s="8"/>
      <c r="L13" s="41"/>
      <c r="M13" s="13"/>
      <c r="N13" s="8"/>
      <c r="O13" s="8"/>
      <c r="P13" s="8"/>
      <c r="Q13" s="8"/>
      <c r="R13" s="8"/>
    </row>
    <row r="14" spans="1:18" ht="15" customHeight="1" thickBot="1">
      <c r="A14" s="240"/>
      <c r="B14" s="158"/>
      <c r="C14" s="28"/>
      <c r="D14" s="159"/>
      <c r="E14" s="51"/>
      <c r="F14" s="41"/>
      <c r="G14" s="31" t="s">
        <v>65</v>
      </c>
      <c r="H14" s="116"/>
      <c r="I14" s="45"/>
      <c r="J14" s="41"/>
      <c r="K14" s="41"/>
      <c r="L14" s="41"/>
      <c r="M14" s="13"/>
      <c r="N14" s="8"/>
      <c r="O14" s="8"/>
      <c r="P14" s="8"/>
      <c r="Q14" s="8"/>
      <c r="R14" s="8"/>
    </row>
    <row r="15" spans="1:18" ht="15" customHeight="1" thickBot="1">
      <c r="A15" s="240"/>
      <c r="B15" s="158"/>
      <c r="C15" s="151" t="s">
        <v>58</v>
      </c>
      <c r="D15" s="162">
        <f>ABS(H23-I23)</f>
        <v>2456.9999999999982</v>
      </c>
      <c r="E15" s="52" t="s">
        <v>9</v>
      </c>
      <c r="F15" s="41"/>
      <c r="G15" s="115" t="s">
        <v>66</v>
      </c>
      <c r="H15" s="118">
        <v>7</v>
      </c>
      <c r="I15" s="118">
        <v>9</v>
      </c>
      <c r="J15" s="41" t="s">
        <v>15</v>
      </c>
      <c r="K15" s="41"/>
      <c r="L15" s="41"/>
      <c r="M15" s="13"/>
      <c r="N15" s="8"/>
      <c r="O15" s="8"/>
      <c r="P15" s="8"/>
      <c r="Q15" s="8"/>
      <c r="R15" s="8"/>
    </row>
    <row r="16" spans="1:18" ht="15" customHeight="1">
      <c r="A16" s="240"/>
      <c r="B16" s="158"/>
      <c r="C16" s="151" t="s">
        <v>59</v>
      </c>
      <c r="D16" s="162">
        <f>-ABS(H24-I24)</f>
        <v>-1989.0000000000009</v>
      </c>
      <c r="E16" s="52" t="s">
        <v>17</v>
      </c>
      <c r="F16" s="41"/>
      <c r="G16" s="46" t="s">
        <v>67</v>
      </c>
      <c r="H16" s="117">
        <f>H10*H15</f>
        <v>105</v>
      </c>
      <c r="I16" s="117">
        <f>H10*I15</f>
        <v>135</v>
      </c>
      <c r="J16" s="41" t="s">
        <v>20</v>
      </c>
      <c r="K16" s="13"/>
      <c r="L16" s="41"/>
      <c r="M16" s="13"/>
      <c r="N16" s="8"/>
      <c r="O16" s="8"/>
      <c r="P16" s="8"/>
      <c r="Q16" s="8"/>
      <c r="R16" s="8"/>
    </row>
    <row r="17" spans="1:18" ht="15" customHeight="1">
      <c r="A17" s="240"/>
      <c r="B17" s="158"/>
      <c r="C17" s="29"/>
      <c r="D17" s="29"/>
      <c r="E17" s="51"/>
      <c r="F17" s="41"/>
      <c r="G17" s="46" t="s">
        <v>68</v>
      </c>
      <c r="H17" s="50">
        <f>H11*H15</f>
        <v>175.34999999999997</v>
      </c>
      <c r="I17" s="50">
        <f>H11*I15</f>
        <v>225.45</v>
      </c>
      <c r="J17" s="41" t="s">
        <v>9</v>
      </c>
      <c r="K17" s="41"/>
      <c r="L17" s="41"/>
      <c r="M17" s="13"/>
      <c r="N17" s="8"/>
      <c r="O17" s="8"/>
      <c r="P17" s="8"/>
      <c r="Q17" s="8"/>
      <c r="R17" s="8"/>
    </row>
    <row r="18" spans="1:18" ht="34">
      <c r="A18" s="114"/>
      <c r="B18" s="114"/>
      <c r="C18" s="19"/>
      <c r="D18" s="8"/>
      <c r="E18" s="8"/>
      <c r="F18" s="8"/>
      <c r="G18" s="46" t="s">
        <v>69</v>
      </c>
      <c r="H18" s="182">
        <f>H17+H12*H15</f>
        <v>286.64999999999998</v>
      </c>
      <c r="I18" s="182">
        <f>I17+H12*I15</f>
        <v>368.54999999999995</v>
      </c>
      <c r="J18" s="183" t="s">
        <v>9</v>
      </c>
      <c r="K18" s="41"/>
      <c r="L18" s="41"/>
      <c r="M18" s="13"/>
      <c r="N18" s="8"/>
      <c r="O18" s="8"/>
      <c r="P18" s="8"/>
      <c r="Q18" s="8"/>
      <c r="R18" s="8"/>
    </row>
    <row r="19" spans="1:18" ht="17">
      <c r="A19" s="114"/>
      <c r="B19" s="114"/>
      <c r="C19" s="41"/>
      <c r="D19" s="41"/>
      <c r="E19" s="41"/>
      <c r="F19" s="8"/>
      <c r="G19" s="46" t="s">
        <v>70</v>
      </c>
      <c r="H19" s="50">
        <f>H8*H16</f>
        <v>232.04999999999998</v>
      </c>
      <c r="I19" s="50">
        <f>H8*I16</f>
        <v>298.35000000000002</v>
      </c>
      <c r="J19" s="41" t="s">
        <v>17</v>
      </c>
      <c r="K19" s="41"/>
      <c r="L19" s="41"/>
      <c r="M19" s="13"/>
      <c r="N19" s="8"/>
      <c r="O19" s="8"/>
      <c r="P19" s="8"/>
      <c r="Q19" s="8"/>
      <c r="R19" s="8"/>
    </row>
    <row r="20" spans="1:18" ht="16">
      <c r="A20" s="114"/>
      <c r="B20" s="114"/>
      <c r="C20" s="41"/>
      <c r="D20" s="41"/>
      <c r="E20" s="41"/>
      <c r="F20" s="8"/>
      <c r="G20" s="41"/>
      <c r="H20" s="41"/>
      <c r="I20" s="41"/>
      <c r="J20" s="41"/>
      <c r="K20" s="41"/>
      <c r="L20" s="41"/>
      <c r="M20" s="13"/>
      <c r="N20" s="8"/>
      <c r="O20" s="8"/>
      <c r="P20" s="8"/>
      <c r="Q20" s="8"/>
      <c r="R20" s="8"/>
    </row>
    <row r="21" spans="1:18" ht="17" thickBot="1">
      <c r="A21" s="114"/>
      <c r="B21" s="114"/>
      <c r="C21" s="41"/>
      <c r="D21" s="41"/>
      <c r="E21" s="41"/>
      <c r="F21" s="41"/>
      <c r="G21" s="31" t="s">
        <v>71</v>
      </c>
      <c r="I21" s="41"/>
      <c r="J21" s="41"/>
      <c r="K21" s="41"/>
      <c r="L21" s="41"/>
      <c r="M21" s="13"/>
      <c r="N21" s="8"/>
      <c r="O21" s="8"/>
      <c r="P21" s="8"/>
      <c r="Q21" s="8"/>
      <c r="R21" s="8"/>
    </row>
    <row r="22" spans="1:18" ht="15" customHeight="1" thickBot="1">
      <c r="A22" s="8"/>
      <c r="B22" s="8"/>
      <c r="C22" s="41"/>
      <c r="D22" s="41"/>
      <c r="E22" s="41"/>
      <c r="F22" s="41"/>
      <c r="G22" s="119" t="s">
        <v>72</v>
      </c>
      <c r="H22" s="241">
        <v>30</v>
      </c>
      <c r="I22" s="242"/>
      <c r="J22" s="41" t="s">
        <v>50</v>
      </c>
      <c r="K22" s="41"/>
      <c r="L22" s="41"/>
      <c r="M22" s="13"/>
      <c r="N22" s="8"/>
      <c r="O22" s="8"/>
      <c r="P22" s="8"/>
      <c r="Q22" s="8"/>
      <c r="R22" s="8"/>
    </row>
    <row r="23" spans="1:18" ht="15" customHeight="1">
      <c r="A23" s="8"/>
      <c r="B23" s="8"/>
      <c r="C23" s="41"/>
      <c r="D23" s="41"/>
      <c r="E23" s="41"/>
      <c r="F23" s="41"/>
      <c r="G23" s="46" t="s">
        <v>73</v>
      </c>
      <c r="H23" s="163">
        <f>H22*H18</f>
        <v>8599.5</v>
      </c>
      <c r="I23" s="163">
        <f>H22*I18</f>
        <v>11056.499999999998</v>
      </c>
      <c r="J23" s="41" t="s">
        <v>9</v>
      </c>
      <c r="K23" s="41"/>
      <c r="L23" s="41"/>
      <c r="M23" s="13"/>
      <c r="N23" s="8"/>
      <c r="O23" s="8"/>
      <c r="P23" s="8"/>
      <c r="Q23" s="8"/>
      <c r="R23" s="8"/>
    </row>
    <row r="24" spans="1:18" ht="15" customHeight="1">
      <c r="A24" s="8"/>
      <c r="B24" s="8"/>
      <c r="C24" s="41"/>
      <c r="D24" s="41"/>
      <c r="E24" s="41"/>
      <c r="F24" s="41"/>
      <c r="G24" s="46" t="s">
        <v>74</v>
      </c>
      <c r="H24" s="144">
        <f>H22*H19</f>
        <v>6961.4999999999991</v>
      </c>
      <c r="I24" s="144">
        <f>H22*I19</f>
        <v>8950.5</v>
      </c>
      <c r="J24" s="41" t="s">
        <v>17</v>
      </c>
      <c r="K24" s="41"/>
      <c r="L24" s="41"/>
      <c r="M24" s="13"/>
      <c r="N24" s="8"/>
      <c r="O24" s="8"/>
      <c r="P24" s="8"/>
      <c r="Q24" s="8"/>
      <c r="R24" s="8"/>
    </row>
    <row r="25" spans="1:18" ht="1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13"/>
      <c r="N25" s="8"/>
      <c r="O25" s="8"/>
      <c r="P25" s="8"/>
      <c r="Q25" s="8"/>
      <c r="R25" s="8"/>
    </row>
    <row r="26" spans="1:18" ht="1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13"/>
      <c r="N26" s="8"/>
      <c r="O26" s="8"/>
      <c r="P26" s="8"/>
      <c r="Q26" s="8"/>
      <c r="R26" s="8"/>
    </row>
    <row r="27" spans="1:18" ht="15" customHeight="1">
      <c r="A27" s="41"/>
      <c r="B27" s="41"/>
      <c r="C27" s="41"/>
      <c r="D27" s="187"/>
      <c r="E27" s="41"/>
      <c r="F27" s="41"/>
      <c r="G27" s="41"/>
      <c r="H27" s="41"/>
      <c r="I27" s="41"/>
      <c r="J27" s="41"/>
      <c r="K27" s="41"/>
      <c r="L27" s="41"/>
      <c r="M27" s="13"/>
      <c r="N27" s="8"/>
      <c r="O27" s="8"/>
      <c r="P27" s="8"/>
      <c r="Q27" s="8"/>
      <c r="R27" s="8"/>
    </row>
    <row r="28" spans="1:18" ht="1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13"/>
      <c r="N28" s="8"/>
      <c r="O28" s="8"/>
      <c r="P28" s="8"/>
      <c r="Q28" s="8"/>
      <c r="R28" s="8"/>
    </row>
    <row r="29" spans="1:18" ht="1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13"/>
      <c r="N29" s="8"/>
      <c r="O29" s="8"/>
      <c r="P29" s="8"/>
      <c r="Q29" s="8"/>
      <c r="R29" s="8"/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sheetProtection sheet="1" objects="1" scenarios="1"/>
  <mergeCells count="2">
    <mergeCell ref="A7:A17"/>
    <mergeCell ref="H22:I22"/>
  </mergeCells>
  <pageMargins left="0.7" right="0.7" top="0.75" bottom="0.75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70"/>
  <sheetViews>
    <sheetView zoomScale="110" zoomScaleNormal="110" workbookViewId="0">
      <selection activeCell="K18" sqref="K18"/>
    </sheetView>
  </sheetViews>
  <sheetFormatPr baseColWidth="10" defaultColWidth="11.1640625" defaultRowHeight="15" customHeight="1"/>
  <cols>
    <col min="1" max="1" width="12.5" customWidth="1"/>
    <col min="2" max="2" width="2.5" customWidth="1"/>
    <col min="3" max="3" width="21.83203125" customWidth="1"/>
    <col min="4" max="4" width="13.5" customWidth="1"/>
    <col min="5" max="5" width="14.33203125" customWidth="1"/>
    <col min="6" max="6" width="9.5" customWidth="1"/>
    <col min="7" max="7" width="8.5" customWidth="1"/>
    <col min="8" max="8" width="24.6640625" customWidth="1"/>
    <col min="9" max="9" width="12.1640625" customWidth="1"/>
    <col min="10" max="10" width="14.33203125" customWidth="1"/>
    <col min="11" max="11" width="18.33203125" customWidth="1"/>
    <col min="12" max="12" width="9.1640625" customWidth="1"/>
    <col min="13" max="27" width="8.5" customWidth="1"/>
  </cols>
  <sheetData>
    <row r="1" spans="1:18" ht="50" customHeight="1">
      <c r="A1" s="185" t="s">
        <v>56</v>
      </c>
      <c r="B1" s="42"/>
      <c r="C1" s="82" t="s">
        <v>75</v>
      </c>
      <c r="D1" s="81"/>
      <c r="E1" s="81"/>
      <c r="F1" s="81"/>
      <c r="G1" s="8"/>
      <c r="H1" s="81"/>
      <c r="I1" s="81"/>
      <c r="J1" s="81"/>
      <c r="K1" s="81"/>
      <c r="L1" s="81"/>
      <c r="M1" s="81"/>
      <c r="N1" s="8"/>
      <c r="O1" s="8"/>
      <c r="P1" s="8"/>
      <c r="Q1" s="8"/>
      <c r="R1" s="8"/>
    </row>
    <row r="2" spans="1:18" s="126" customFormat="1" ht="16">
      <c r="A2" s="122"/>
      <c r="B2" s="122"/>
      <c r="C2" s="123"/>
      <c r="D2" s="124"/>
      <c r="E2" s="124"/>
      <c r="F2" s="124"/>
      <c r="G2" s="125"/>
      <c r="H2" s="124"/>
      <c r="I2" s="124"/>
      <c r="J2" s="124"/>
      <c r="K2" s="81"/>
      <c r="L2" s="81"/>
      <c r="M2" s="81"/>
      <c r="N2" s="125"/>
      <c r="O2" s="125"/>
      <c r="P2" s="125"/>
      <c r="Q2" s="125"/>
      <c r="R2" s="125"/>
    </row>
    <row r="3" spans="1:18" ht="16">
      <c r="A3" s="42"/>
      <c r="B3" s="42"/>
      <c r="C3" s="83" t="s">
        <v>76</v>
      </c>
      <c r="D3" s="81"/>
      <c r="E3" s="81"/>
      <c r="F3" s="81"/>
      <c r="G3" s="8"/>
      <c r="H3" s="81"/>
      <c r="I3" s="81"/>
      <c r="J3" s="81"/>
      <c r="K3" s="81"/>
      <c r="L3" s="81"/>
      <c r="M3" s="81"/>
      <c r="N3" s="8"/>
      <c r="O3" s="8"/>
      <c r="P3" s="8"/>
      <c r="Q3" s="8"/>
      <c r="R3" s="8"/>
    </row>
    <row r="4" spans="1:18" ht="16">
      <c r="A4" s="42"/>
      <c r="B4" s="42"/>
      <c r="C4" s="83" t="s">
        <v>77</v>
      </c>
      <c r="D4" s="81"/>
      <c r="E4" s="81"/>
      <c r="F4" s="81"/>
      <c r="G4" s="8"/>
      <c r="I4" s="81"/>
      <c r="J4" s="81"/>
      <c r="K4" s="81"/>
      <c r="L4" s="81"/>
      <c r="M4" s="81"/>
      <c r="N4" s="8"/>
      <c r="O4" s="8"/>
      <c r="P4" s="8"/>
      <c r="Q4" s="8"/>
      <c r="R4" s="8"/>
    </row>
    <row r="5" spans="1:18" ht="22">
      <c r="A5" s="42"/>
      <c r="B5" s="42"/>
      <c r="C5" s="83" t="s">
        <v>78</v>
      </c>
      <c r="D5" s="81"/>
      <c r="E5" s="81"/>
      <c r="F5" s="81"/>
      <c r="G5" s="8"/>
      <c r="H5" s="101" t="s">
        <v>41</v>
      </c>
      <c r="I5" s="81"/>
      <c r="J5" s="81"/>
      <c r="K5" s="81"/>
      <c r="L5" s="81"/>
      <c r="M5" s="81"/>
      <c r="N5" s="8"/>
      <c r="O5" s="8"/>
      <c r="P5" s="8"/>
      <c r="Q5" s="8"/>
      <c r="R5" s="8"/>
    </row>
    <row r="6" spans="1:18" ht="16">
      <c r="A6" s="42"/>
      <c r="B6" s="42"/>
      <c r="C6" s="83"/>
      <c r="D6" s="81"/>
      <c r="E6" s="81"/>
      <c r="F6" s="81"/>
      <c r="G6" s="8"/>
      <c r="H6" s="81"/>
      <c r="I6" s="81"/>
      <c r="J6" s="81"/>
      <c r="K6" s="81"/>
      <c r="L6" s="81"/>
      <c r="M6" s="81"/>
      <c r="N6" s="8"/>
      <c r="O6" s="8"/>
      <c r="P6" s="8"/>
      <c r="Q6" s="8"/>
      <c r="R6" s="8"/>
    </row>
    <row r="7" spans="1:18" ht="23" thickBot="1">
      <c r="A7" s="243" t="s">
        <v>37</v>
      </c>
      <c r="B7" s="157"/>
      <c r="C7" s="98" t="s">
        <v>79</v>
      </c>
      <c r="D7" s="29"/>
      <c r="E7" s="29"/>
      <c r="F7" s="29"/>
      <c r="G7" s="8"/>
      <c r="H7" s="31" t="s">
        <v>88</v>
      </c>
      <c r="J7" s="42"/>
      <c r="K7" s="19" t="s">
        <v>219</v>
      </c>
      <c r="L7" s="8"/>
      <c r="M7" s="81"/>
      <c r="N7" s="8"/>
      <c r="O7" s="8"/>
      <c r="P7" s="8"/>
      <c r="Q7" s="8"/>
      <c r="R7" s="8"/>
    </row>
    <row r="8" spans="1:18" ht="17" thickBot="1">
      <c r="A8" s="243"/>
      <c r="B8" s="157"/>
      <c r="C8" s="29"/>
      <c r="D8" s="97" t="s">
        <v>80</v>
      </c>
      <c r="E8" s="97" t="s">
        <v>81</v>
      </c>
      <c r="F8" s="29"/>
      <c r="G8" s="8"/>
      <c r="H8" s="18" t="s">
        <v>24</v>
      </c>
      <c r="I8" s="84">
        <v>10</v>
      </c>
      <c r="J8" s="8" t="s">
        <v>91</v>
      </c>
      <c r="K8" s="58" t="s">
        <v>186</v>
      </c>
      <c r="L8" s="145">
        <v>250</v>
      </c>
      <c r="M8" s="81"/>
      <c r="N8" s="8"/>
      <c r="O8" s="8"/>
      <c r="P8" s="8"/>
      <c r="Q8" s="8"/>
      <c r="R8" s="8"/>
    </row>
    <row r="9" spans="1:18" ht="17" thickBot="1">
      <c r="A9" s="243"/>
      <c r="B9" s="157"/>
      <c r="C9" s="95" t="s">
        <v>86</v>
      </c>
      <c r="D9" s="94">
        <f>I23+I27+I28+I29</f>
        <v>15392.5</v>
      </c>
      <c r="E9" s="94">
        <f>J23+J27+J28+J29</f>
        <v>18035</v>
      </c>
      <c r="F9" s="30" t="s">
        <v>9</v>
      </c>
      <c r="G9" s="8"/>
      <c r="H9" s="18" t="s">
        <v>25</v>
      </c>
      <c r="I9" s="84">
        <v>15</v>
      </c>
      <c r="J9" s="8" t="s">
        <v>91</v>
      </c>
      <c r="K9" s="196" t="s">
        <v>187</v>
      </c>
      <c r="L9" s="147">
        <v>250</v>
      </c>
      <c r="M9" s="81"/>
      <c r="N9" s="8"/>
      <c r="O9" s="8"/>
      <c r="P9" s="8"/>
      <c r="Q9" s="8"/>
      <c r="R9" s="8"/>
    </row>
    <row r="10" spans="1:18" ht="15.75" customHeight="1" thickBot="1">
      <c r="A10" s="243"/>
      <c r="B10" s="157"/>
      <c r="C10" s="29"/>
      <c r="D10" s="29"/>
      <c r="E10" s="29"/>
      <c r="F10" s="30"/>
      <c r="G10" s="8"/>
      <c r="H10" s="18" t="s">
        <v>89</v>
      </c>
      <c r="I10" s="85">
        <v>40</v>
      </c>
      <c r="J10" s="8" t="s">
        <v>9</v>
      </c>
      <c r="K10" s="58" t="s">
        <v>188</v>
      </c>
      <c r="L10" s="148">
        <v>250</v>
      </c>
      <c r="M10" s="81"/>
      <c r="N10" s="8"/>
      <c r="O10" s="8"/>
      <c r="P10" s="8"/>
      <c r="Q10" s="8"/>
      <c r="R10" s="8"/>
    </row>
    <row r="11" spans="1:18" ht="15.75" customHeight="1" thickBot="1">
      <c r="A11" s="243"/>
      <c r="B11" s="157"/>
      <c r="C11" s="93" t="s">
        <v>82</v>
      </c>
      <c r="D11" s="94">
        <f>IF(I8&gt;0, I22+I26*I12+I10*I19, 0)</f>
        <v>651.70000000000005</v>
      </c>
      <c r="E11" s="94">
        <f>IF(I8&gt;0, J22+J26*I12+J19*I10, 0)</f>
        <v>793.4</v>
      </c>
      <c r="F11" s="30" t="s">
        <v>9</v>
      </c>
      <c r="G11" s="8"/>
      <c r="H11" s="27" t="s">
        <v>90</v>
      </c>
      <c r="I11" s="85">
        <v>30</v>
      </c>
      <c r="J11" s="8" t="s">
        <v>9</v>
      </c>
      <c r="K11" s="8"/>
      <c r="L11" s="8"/>
      <c r="M11" s="81"/>
      <c r="N11" s="8"/>
      <c r="O11" s="8"/>
      <c r="P11" s="8"/>
      <c r="Q11" s="8"/>
      <c r="R11" s="8"/>
    </row>
    <row r="12" spans="1:18" ht="15" customHeight="1" thickBot="1">
      <c r="A12" s="243"/>
      <c r="B12" s="157"/>
      <c r="C12" s="12" t="s">
        <v>83</v>
      </c>
      <c r="D12" s="88">
        <f>IF(I8&gt;0, I22, 0)</f>
        <v>345</v>
      </c>
      <c r="E12" s="88">
        <f>IF(I8&gt;0, J22, 0)</f>
        <v>180</v>
      </c>
      <c r="F12" s="30" t="s">
        <v>9</v>
      </c>
      <c r="G12" s="8"/>
      <c r="H12" s="27" t="s">
        <v>189</v>
      </c>
      <c r="I12" s="85">
        <v>66.7</v>
      </c>
      <c r="J12" s="8" t="s">
        <v>9</v>
      </c>
      <c r="K12" s="42"/>
      <c r="L12" s="42"/>
      <c r="M12" s="81"/>
      <c r="N12" s="8"/>
      <c r="O12" s="8"/>
      <c r="P12" s="8"/>
      <c r="Q12" s="8"/>
      <c r="R12" s="8"/>
    </row>
    <row r="13" spans="1:18" ht="15.75" customHeight="1">
      <c r="A13" s="243"/>
      <c r="B13" s="157"/>
      <c r="C13" s="12" t="s">
        <v>84</v>
      </c>
      <c r="D13" s="88">
        <f>D11-D12</f>
        <v>306.70000000000005</v>
      </c>
      <c r="E13" s="88">
        <f>E11-E12</f>
        <v>613.4</v>
      </c>
      <c r="F13" s="30" t="s">
        <v>9</v>
      </c>
      <c r="G13" s="8"/>
      <c r="H13" s="18" t="s">
        <v>119</v>
      </c>
      <c r="I13" s="60">
        <f>I8+I9</f>
        <v>25</v>
      </c>
      <c r="J13" s="8" t="s">
        <v>91</v>
      </c>
      <c r="K13" s="42"/>
      <c r="L13" s="42"/>
      <c r="M13" s="81"/>
      <c r="N13" s="8"/>
      <c r="O13" s="8"/>
      <c r="P13" s="8"/>
      <c r="Q13" s="8"/>
      <c r="R13" s="8"/>
    </row>
    <row r="14" spans="1:18" ht="15.75" customHeight="1">
      <c r="A14" s="243"/>
      <c r="B14" s="157"/>
      <c r="C14" s="93" t="s">
        <v>85</v>
      </c>
      <c r="D14" s="94">
        <f>IF(I9&gt;0, I22+I26*I12+I11*I19, 0)</f>
        <v>591.70000000000005</v>
      </c>
      <c r="E14" s="94">
        <f>IF(I9&gt;0, J22+J26*I12+J19*I11, 0)</f>
        <v>673.4</v>
      </c>
      <c r="F14" s="30" t="s">
        <v>9</v>
      </c>
      <c r="G14" s="8"/>
      <c r="I14" s="42"/>
      <c r="K14" s="42"/>
      <c r="L14" s="42"/>
      <c r="M14" s="81"/>
      <c r="N14" s="8"/>
      <c r="O14" s="8"/>
      <c r="P14" s="8"/>
      <c r="Q14" s="8"/>
      <c r="R14" s="8"/>
    </row>
    <row r="15" spans="1:18" ht="15.75" customHeight="1" thickBot="1">
      <c r="A15" s="243"/>
      <c r="B15" s="157"/>
      <c r="C15" s="12" t="s">
        <v>83</v>
      </c>
      <c r="D15" s="88">
        <f>IF(I9&gt;0, I22, 0)</f>
        <v>345</v>
      </c>
      <c r="E15" s="88">
        <f>IF(I9&gt;0, J22, 0)</f>
        <v>180</v>
      </c>
      <c r="F15" s="30" t="s">
        <v>9</v>
      </c>
      <c r="G15" s="8"/>
      <c r="H15" s="31" t="s">
        <v>92</v>
      </c>
      <c r="I15" s="62" t="s">
        <v>80</v>
      </c>
      <c r="J15" s="62" t="s">
        <v>81</v>
      </c>
      <c r="K15" s="42"/>
      <c r="L15" s="42"/>
      <c r="M15" s="81"/>
      <c r="N15" s="8"/>
      <c r="O15" s="8"/>
      <c r="P15" s="8"/>
      <c r="Q15" s="8"/>
      <c r="R15" s="8"/>
    </row>
    <row r="16" spans="1:18" ht="15.75" customHeight="1" thickBot="1">
      <c r="A16" s="243"/>
      <c r="B16" s="157"/>
      <c r="C16" s="12" t="s">
        <v>84</v>
      </c>
      <c r="D16" s="88">
        <f>D14-D15</f>
        <v>246.70000000000005</v>
      </c>
      <c r="E16" s="88">
        <f>E14-E15</f>
        <v>493.4</v>
      </c>
      <c r="F16" s="30" t="s">
        <v>9</v>
      </c>
      <c r="G16" s="8"/>
      <c r="H16" s="27" t="s">
        <v>228</v>
      </c>
      <c r="I16" s="87">
        <v>0.33333333333333331</v>
      </c>
      <c r="J16" s="87">
        <v>0.33333333333333331</v>
      </c>
      <c r="K16" s="42" t="s">
        <v>22</v>
      </c>
      <c r="L16" s="42"/>
      <c r="M16" s="81"/>
      <c r="N16" s="8"/>
      <c r="O16" s="8"/>
      <c r="P16" s="8"/>
      <c r="Q16" s="8"/>
      <c r="R16" s="8"/>
    </row>
    <row r="17" spans="1:18" ht="15.75" customHeight="1" thickBot="1">
      <c r="A17" s="243"/>
      <c r="B17" s="157"/>
      <c r="C17" s="29"/>
      <c r="D17" s="29"/>
      <c r="E17" s="29"/>
      <c r="F17" s="29"/>
      <c r="G17" s="8"/>
      <c r="H17" s="18" t="s">
        <v>229</v>
      </c>
      <c r="I17" s="87">
        <v>0.5</v>
      </c>
      <c r="J17" s="87">
        <v>0.75</v>
      </c>
      <c r="K17" s="42" t="s">
        <v>22</v>
      </c>
      <c r="L17" s="42"/>
      <c r="M17" s="81"/>
      <c r="N17" s="8"/>
      <c r="O17" s="8"/>
      <c r="P17" s="8"/>
      <c r="Q17" s="8"/>
      <c r="R17" s="8"/>
    </row>
    <row r="18" spans="1:18" ht="17" thickBot="1">
      <c r="A18" s="243"/>
      <c r="B18" s="110"/>
      <c r="C18" s="42"/>
      <c r="D18" s="42"/>
      <c r="E18" s="75"/>
      <c r="F18" s="42"/>
      <c r="G18" s="8"/>
      <c r="H18" s="18" t="s">
        <v>230</v>
      </c>
      <c r="I18" s="86">
        <v>2</v>
      </c>
      <c r="J18" s="86">
        <v>2</v>
      </c>
      <c r="K18" s="42" t="s">
        <v>15</v>
      </c>
      <c r="L18" s="42"/>
      <c r="M18" s="81"/>
      <c r="N18" s="8"/>
      <c r="O18" s="8"/>
      <c r="P18" s="8"/>
      <c r="Q18" s="8"/>
      <c r="R18" s="8"/>
    </row>
    <row r="19" spans="1:18" ht="22">
      <c r="A19" s="243"/>
      <c r="B19" s="157"/>
      <c r="C19" s="131" t="s">
        <v>79</v>
      </c>
      <c r="D19" s="29"/>
      <c r="E19" s="29"/>
      <c r="F19" s="29"/>
      <c r="G19" s="8"/>
      <c r="H19" s="18" t="s">
        <v>95</v>
      </c>
      <c r="I19" s="50">
        <f>MOD(I17-I16, 1)*24+I18</f>
        <v>6</v>
      </c>
      <c r="J19" s="50">
        <f>MOD(J17-J16, 1)*24+J18</f>
        <v>12</v>
      </c>
      <c r="K19" s="42" t="s">
        <v>15</v>
      </c>
      <c r="L19" s="42"/>
      <c r="M19" s="81"/>
      <c r="N19" s="8"/>
      <c r="O19" s="8"/>
      <c r="P19" s="8"/>
      <c r="Q19" s="8"/>
      <c r="R19" s="8"/>
    </row>
    <row r="20" spans="1:18" ht="16">
      <c r="A20" s="243"/>
      <c r="B20" s="157"/>
      <c r="C20" s="29"/>
      <c r="D20" s="97" t="s">
        <v>80</v>
      </c>
      <c r="E20" s="97" t="s">
        <v>81</v>
      </c>
      <c r="F20" s="29"/>
      <c r="G20" s="8"/>
      <c r="I20" s="8"/>
      <c r="J20" s="8"/>
      <c r="K20" s="42"/>
      <c r="L20" s="42"/>
      <c r="M20" s="81"/>
      <c r="N20" s="8"/>
      <c r="O20" s="8"/>
      <c r="P20" s="8"/>
      <c r="Q20" s="8"/>
      <c r="R20" s="8"/>
    </row>
    <row r="21" spans="1:18" ht="17" thickBot="1">
      <c r="A21" s="243"/>
      <c r="B21" s="157"/>
      <c r="C21" s="96" t="s">
        <v>87</v>
      </c>
      <c r="D21" s="94">
        <f>I32*I13</f>
        <v>31000</v>
      </c>
      <c r="E21" s="94">
        <f>J32*I13</f>
        <v>38825</v>
      </c>
      <c r="F21" s="30" t="s">
        <v>17</v>
      </c>
      <c r="G21" s="8"/>
      <c r="H21" s="31" t="s">
        <v>96</v>
      </c>
      <c r="I21" s="62" t="s">
        <v>80</v>
      </c>
      <c r="J21" s="62" t="s">
        <v>81</v>
      </c>
      <c r="K21" s="42"/>
      <c r="L21" s="42"/>
      <c r="M21" s="81"/>
      <c r="N21" s="8"/>
      <c r="O21" s="8"/>
      <c r="P21" s="8"/>
      <c r="Q21" s="8"/>
      <c r="R21" s="8"/>
    </row>
    <row r="22" spans="1:18" ht="17" thickBot="1">
      <c r="A22" s="243"/>
      <c r="B22" s="157"/>
      <c r="C22" s="29"/>
      <c r="D22" s="29"/>
      <c r="E22" s="29"/>
      <c r="F22" s="29"/>
      <c r="G22" s="8"/>
      <c r="H22" s="18" t="s">
        <v>97</v>
      </c>
      <c r="I22" s="86">
        <v>345</v>
      </c>
      <c r="J22" s="86">
        <v>180</v>
      </c>
      <c r="K22" s="42" t="s">
        <v>9</v>
      </c>
      <c r="L22" s="42"/>
      <c r="M22" s="81"/>
      <c r="N22" s="8"/>
      <c r="O22" s="8"/>
      <c r="P22" s="8"/>
      <c r="Q22" s="8"/>
      <c r="R22" s="8"/>
    </row>
    <row r="23" spans="1:18" ht="16">
      <c r="A23" s="42"/>
      <c r="B23" s="42"/>
      <c r="C23" s="42"/>
      <c r="D23" s="42"/>
      <c r="E23" s="42"/>
      <c r="F23" s="42"/>
      <c r="G23" s="8"/>
      <c r="H23" s="18" t="s">
        <v>98</v>
      </c>
      <c r="I23" s="50">
        <f>I22*$I$13</f>
        <v>8625</v>
      </c>
      <c r="J23" s="50">
        <f>J22*$I$13</f>
        <v>4500</v>
      </c>
      <c r="K23" s="42" t="s">
        <v>9</v>
      </c>
      <c r="L23" s="42"/>
      <c r="M23" s="81"/>
      <c r="N23" s="8"/>
      <c r="O23" s="8"/>
      <c r="P23" s="8"/>
      <c r="Q23" s="8"/>
      <c r="R23" s="8"/>
    </row>
    <row r="24" spans="1:18" ht="16">
      <c r="A24" s="42"/>
      <c r="B24" s="42"/>
      <c r="C24" s="42"/>
      <c r="D24" s="42"/>
      <c r="E24" s="42"/>
      <c r="F24" s="42"/>
      <c r="G24" s="8"/>
      <c r="H24" s="42"/>
      <c r="I24" s="42"/>
      <c r="J24" s="42"/>
      <c r="K24" s="42"/>
      <c r="L24" s="42"/>
      <c r="M24" s="81"/>
      <c r="N24" s="8"/>
      <c r="O24" s="8"/>
      <c r="P24" s="8"/>
      <c r="Q24" s="8"/>
      <c r="R24" s="8"/>
    </row>
    <row r="25" spans="1:18" ht="17" thickBot="1">
      <c r="A25" s="42"/>
      <c r="B25" s="42"/>
      <c r="C25" s="42"/>
      <c r="D25" s="42"/>
      <c r="E25" s="42"/>
      <c r="F25" s="42"/>
      <c r="G25" s="42"/>
      <c r="H25" s="31" t="s">
        <v>99</v>
      </c>
      <c r="I25" s="62" t="s">
        <v>80</v>
      </c>
      <c r="J25" s="62" t="s">
        <v>81</v>
      </c>
      <c r="K25" s="42"/>
      <c r="L25" s="42"/>
      <c r="M25" s="81"/>
      <c r="N25" s="8"/>
      <c r="O25" s="8"/>
      <c r="P25" s="8"/>
      <c r="Q25" s="8"/>
      <c r="R25" s="8"/>
    </row>
    <row r="26" spans="1:18" ht="17" thickBot="1">
      <c r="A26" s="42"/>
      <c r="B26" s="42"/>
      <c r="C26" s="42"/>
      <c r="D26" s="42"/>
      <c r="E26" s="42"/>
      <c r="F26" s="42"/>
      <c r="G26" s="42"/>
      <c r="H26" s="27" t="s">
        <v>190</v>
      </c>
      <c r="I26" s="84">
        <v>1</v>
      </c>
      <c r="J26" s="84">
        <v>2</v>
      </c>
      <c r="K26" s="42" t="s">
        <v>118</v>
      </c>
      <c r="L26" s="42"/>
      <c r="M26" s="81"/>
      <c r="N26" s="8"/>
      <c r="O26" s="8"/>
      <c r="P26" s="8"/>
      <c r="Q26" s="8"/>
      <c r="R26" s="8"/>
    </row>
    <row r="27" spans="1:18" ht="16">
      <c r="A27" s="42"/>
      <c r="B27" s="42"/>
      <c r="C27" s="42"/>
      <c r="D27" s="42"/>
      <c r="E27" s="42"/>
      <c r="F27" s="42"/>
      <c r="G27" s="8"/>
      <c r="H27" s="25" t="s">
        <v>194</v>
      </c>
      <c r="I27" s="50">
        <f>I26*I12*I13</f>
        <v>1667.5</v>
      </c>
      <c r="J27" s="50">
        <f>J26*I13*I12</f>
        <v>3335</v>
      </c>
      <c r="K27" s="42" t="s">
        <v>9</v>
      </c>
      <c r="L27" s="42"/>
      <c r="M27" s="81"/>
      <c r="N27" s="8"/>
      <c r="O27" s="8"/>
      <c r="P27" s="8"/>
      <c r="Q27" s="8"/>
      <c r="R27" s="8"/>
    </row>
    <row r="28" spans="1:18" ht="16">
      <c r="A28" s="42"/>
      <c r="B28" s="42"/>
      <c r="C28" s="42"/>
      <c r="D28" s="42"/>
      <c r="E28" s="42"/>
      <c r="F28" s="42"/>
      <c r="G28" s="8"/>
      <c r="H28" s="25" t="s">
        <v>191</v>
      </c>
      <c r="I28" s="50">
        <f>I8*I10*I19</f>
        <v>2400</v>
      </c>
      <c r="J28" s="50">
        <f>J19*I10*I8</f>
        <v>4800</v>
      </c>
      <c r="K28" s="42" t="s">
        <v>9</v>
      </c>
      <c r="L28" s="42"/>
      <c r="M28" s="81"/>
      <c r="N28" s="8"/>
      <c r="O28" s="8"/>
      <c r="P28" s="8"/>
      <c r="Q28" s="8"/>
      <c r="R28" s="8"/>
    </row>
    <row r="29" spans="1:18" ht="16">
      <c r="A29" s="42"/>
      <c r="B29" s="42"/>
      <c r="C29" s="42"/>
      <c r="D29" s="42"/>
      <c r="E29" s="42"/>
      <c r="F29" s="42"/>
      <c r="G29" s="8"/>
      <c r="H29" s="25" t="s">
        <v>192</v>
      </c>
      <c r="I29" s="50">
        <f>I19*I11*I9</f>
        <v>2700</v>
      </c>
      <c r="J29" s="50">
        <f>J19*I11*I9</f>
        <v>5400</v>
      </c>
      <c r="K29" s="42" t="s">
        <v>9</v>
      </c>
      <c r="L29" s="42"/>
      <c r="M29" s="81"/>
      <c r="N29" s="8"/>
      <c r="O29" s="8"/>
      <c r="P29" s="8"/>
      <c r="Q29" s="8"/>
      <c r="R29" s="8"/>
    </row>
    <row r="30" spans="1:18" ht="16">
      <c r="A30" s="42"/>
      <c r="B30" s="42"/>
      <c r="C30" s="42"/>
      <c r="D30" s="42"/>
      <c r="E30" s="42"/>
      <c r="F30" s="42"/>
      <c r="G30" s="8"/>
      <c r="H30" s="42"/>
      <c r="I30" s="42"/>
      <c r="J30" s="42"/>
      <c r="K30" s="42"/>
      <c r="L30" s="42"/>
      <c r="M30" s="81"/>
      <c r="N30" s="8"/>
      <c r="O30" s="8"/>
      <c r="P30" s="8"/>
      <c r="Q30" s="8"/>
      <c r="R30" s="8"/>
    </row>
    <row r="31" spans="1:18" ht="17" thickBot="1">
      <c r="A31" s="42"/>
      <c r="B31" s="42"/>
      <c r="C31" s="42"/>
      <c r="D31" s="42"/>
      <c r="E31" s="42"/>
      <c r="F31" s="42"/>
      <c r="G31" s="8"/>
      <c r="H31" s="31" t="s">
        <v>100</v>
      </c>
      <c r="I31" s="92" t="s">
        <v>80</v>
      </c>
      <c r="J31" s="92" t="s">
        <v>81</v>
      </c>
      <c r="L31" s="42"/>
      <c r="M31" s="81"/>
      <c r="N31" s="8"/>
      <c r="O31" s="8"/>
      <c r="P31" s="8"/>
      <c r="Q31" s="8"/>
      <c r="R31" s="8"/>
    </row>
    <row r="32" spans="1:18" ht="17" thickBot="1">
      <c r="A32" s="42"/>
      <c r="B32" s="42"/>
      <c r="C32" s="42"/>
      <c r="D32" s="42"/>
      <c r="E32" s="42"/>
      <c r="F32" s="42"/>
      <c r="G32" s="8"/>
      <c r="H32" s="25" t="s">
        <v>101</v>
      </c>
      <c r="I32" s="102">
        <v>1240</v>
      </c>
      <c r="J32" s="102">
        <v>1553</v>
      </c>
      <c r="K32" s="33" t="s">
        <v>102</v>
      </c>
      <c r="L32" s="42"/>
      <c r="M32" s="81"/>
      <c r="N32" s="8"/>
      <c r="O32" s="8"/>
      <c r="P32" s="8"/>
      <c r="Q32" s="8"/>
      <c r="R32" s="8"/>
    </row>
    <row r="33" spans="1:18" ht="16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81"/>
      <c r="N33" s="8"/>
      <c r="O33" s="8"/>
      <c r="P33" s="8"/>
      <c r="Q33" s="8"/>
      <c r="R33" s="8"/>
    </row>
    <row r="34" spans="1:18" ht="16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81"/>
      <c r="N34" s="8"/>
      <c r="O34" s="8"/>
      <c r="P34" s="8"/>
      <c r="Q34" s="8"/>
      <c r="R34" s="8"/>
    </row>
    <row r="35" spans="1:18" ht="17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81"/>
      <c r="N35" s="8"/>
      <c r="O35" s="8"/>
      <c r="P35" s="8"/>
      <c r="Q35" s="8"/>
      <c r="R35" s="8"/>
    </row>
    <row r="36" spans="1:18" ht="1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75"/>
      <c r="L36" s="42"/>
      <c r="M36" s="81"/>
      <c r="N36" s="8"/>
      <c r="O36" s="8"/>
      <c r="P36" s="8"/>
      <c r="Q36" s="8"/>
      <c r="R36" s="8"/>
    </row>
    <row r="37" spans="1:18" ht="16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75"/>
      <c r="L37" s="42"/>
      <c r="M37" s="81"/>
      <c r="N37" s="8"/>
      <c r="O37" s="8"/>
      <c r="P37" s="8"/>
      <c r="Q37" s="8"/>
      <c r="R37" s="8"/>
    </row>
    <row r="38" spans="1:18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75"/>
      <c r="L38" s="42"/>
      <c r="M38" s="81"/>
      <c r="N38" s="8"/>
      <c r="O38" s="8"/>
      <c r="P38" s="8"/>
      <c r="Q38" s="8"/>
      <c r="R38" s="8"/>
    </row>
    <row r="39" spans="1:18" ht="15.75" customHeight="1">
      <c r="L39" s="42"/>
      <c r="M39" s="81"/>
      <c r="N39" s="8"/>
      <c r="O39" s="8"/>
      <c r="P39" s="8"/>
      <c r="Q39" s="8"/>
      <c r="R39" s="8"/>
    </row>
    <row r="40" spans="1:18" ht="15.75" customHeight="1"/>
    <row r="41" spans="1:18" ht="15.75" customHeight="1"/>
    <row r="42" spans="1:18" ht="15.75" customHeight="1"/>
    <row r="43" spans="1:18" ht="15.75" customHeight="1"/>
    <row r="44" spans="1:18" ht="15.75" customHeight="1"/>
    <row r="45" spans="1:18" ht="15.75" customHeight="1"/>
    <row r="46" spans="1:18" ht="15.75" customHeight="1"/>
    <row r="47" spans="1:18" ht="15.75" customHeight="1"/>
    <row r="48" spans="1:1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72" ht="16"/>
    <row r="73" ht="16"/>
    <row r="74" ht="16"/>
    <row r="75" ht="16"/>
    <row r="76" ht="16"/>
    <row r="77" ht="16"/>
    <row r="78" ht="31.5" customHeight="1"/>
    <row r="79" ht="17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spans="1:7" ht="15.75" customHeight="1"/>
    <row r="98" spans="1:7" ht="15.75" customHeight="1"/>
    <row r="99" spans="1:7" ht="15.75" customHeight="1">
      <c r="D99" s="65"/>
      <c r="E99" s="65"/>
    </row>
    <row r="100" spans="1:7" ht="15.75" customHeight="1">
      <c r="A100" s="5"/>
      <c r="B100" s="5"/>
      <c r="C100" s="1"/>
      <c r="D100" s="66"/>
      <c r="E100" s="67"/>
    </row>
    <row r="101" spans="1:7" ht="15.75" customHeight="1">
      <c r="A101" s="6"/>
      <c r="B101" s="6"/>
      <c r="C101" s="3"/>
      <c r="D101" s="68"/>
      <c r="E101" s="68"/>
    </row>
    <row r="102" spans="1:7" ht="15.75" customHeight="1">
      <c r="A102" s="6"/>
      <c r="B102" s="6"/>
      <c r="C102" s="3"/>
      <c r="D102" s="68"/>
      <c r="E102" s="68"/>
      <c r="G102" s="2"/>
    </row>
    <row r="103" spans="1:7" ht="15.75" customHeight="1">
      <c r="A103" s="5"/>
      <c r="B103" s="5"/>
      <c r="C103" s="1"/>
      <c r="D103" s="67"/>
      <c r="E103" s="67"/>
      <c r="G103" s="4"/>
    </row>
    <row r="104" spans="1:7" ht="15.75" customHeight="1">
      <c r="A104" s="1"/>
      <c r="B104" s="1"/>
      <c r="C104" s="3"/>
      <c r="D104" s="68"/>
      <c r="E104" s="68"/>
    </row>
    <row r="105" spans="1:7" ht="15.75" customHeight="1">
      <c r="C105" s="3"/>
      <c r="D105" s="68"/>
      <c r="E105" s="68"/>
      <c r="G105" s="2"/>
    </row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</sheetData>
  <sheetProtection sheet="1" objects="1" scenarios="1"/>
  <mergeCells count="1">
    <mergeCell ref="A7:A22"/>
  </mergeCells>
  <pageMargins left="0.7" right="0.7" top="0.75" bottom="0.75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48"/>
  <sheetViews>
    <sheetView topLeftCell="A15" zoomScale="120" zoomScaleNormal="120" workbookViewId="0">
      <selection activeCell="C40" sqref="C40"/>
    </sheetView>
  </sheetViews>
  <sheetFormatPr baseColWidth="10" defaultColWidth="11.1640625" defaultRowHeight="15" customHeight="1"/>
  <cols>
    <col min="1" max="1" width="12.5" style="107" customWidth="1"/>
    <col min="2" max="2" width="2.5" style="107" customWidth="1"/>
    <col min="3" max="3" width="25.1640625" style="53" customWidth="1"/>
    <col min="4" max="5" width="14" customWidth="1"/>
    <col min="6" max="7" width="17.6640625" customWidth="1"/>
    <col min="8" max="8" width="12.5" customWidth="1"/>
    <col min="9" max="9" width="20.5" customWidth="1"/>
    <col min="10" max="10" width="9.6640625" customWidth="1"/>
    <col min="11" max="11" width="17.83203125" customWidth="1"/>
    <col min="12" max="12" width="9.83203125" customWidth="1"/>
    <col min="13" max="16" width="8.5" customWidth="1"/>
    <col min="17" max="17" width="10.33203125" customWidth="1"/>
    <col min="18" max="18" width="13.33203125" customWidth="1"/>
    <col min="19" max="28" width="8.5" customWidth="1"/>
  </cols>
  <sheetData>
    <row r="1" spans="1:15" ht="50" customHeight="1">
      <c r="A1" s="186" t="s">
        <v>56</v>
      </c>
      <c r="C1" s="121" t="s">
        <v>103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6"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6">
      <c r="C3" s="19" t="s">
        <v>104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6">
      <c r="C4" s="80" t="s">
        <v>78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6">
      <c r="C5" s="19" t="s">
        <v>224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6">
      <c r="C6" s="199" t="s">
        <v>106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6">
      <c r="C7" s="19" t="s">
        <v>105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6">
      <c r="C8" s="1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2">
      <c r="A9" s="239" t="s">
        <v>37</v>
      </c>
      <c r="B9" s="153"/>
      <c r="C9" s="98" t="s">
        <v>107</v>
      </c>
      <c r="D9" s="51"/>
      <c r="E9" s="51"/>
      <c r="F9" s="51"/>
      <c r="G9" s="29"/>
      <c r="H9" s="29"/>
      <c r="I9" s="8"/>
      <c r="J9" s="23"/>
      <c r="K9" s="8"/>
      <c r="L9" s="8"/>
      <c r="M9" s="8"/>
      <c r="N9" s="8"/>
      <c r="O9" s="8"/>
    </row>
    <row r="10" spans="1:15" ht="30" customHeight="1">
      <c r="A10" s="239"/>
      <c r="B10" s="153"/>
      <c r="C10" s="29"/>
      <c r="D10" s="171" t="s">
        <v>111</v>
      </c>
      <c r="E10" s="171" t="s">
        <v>112</v>
      </c>
      <c r="F10" s="172" t="s">
        <v>113</v>
      </c>
      <c r="G10" s="172" t="s">
        <v>114</v>
      </c>
      <c r="H10" s="51"/>
      <c r="I10" s="8"/>
      <c r="J10" s="23"/>
      <c r="K10" s="8"/>
      <c r="L10" s="8"/>
      <c r="M10" s="8"/>
      <c r="N10" s="8"/>
      <c r="O10" s="8"/>
    </row>
    <row r="11" spans="1:15" ht="15.75" customHeight="1">
      <c r="A11" s="239"/>
      <c r="B11" s="153"/>
      <c r="C11" s="15" t="s">
        <v>109</v>
      </c>
      <c r="D11" s="70">
        <f>H35*D35</f>
        <v>0.12</v>
      </c>
      <c r="E11" s="70">
        <f>H46</f>
        <v>264</v>
      </c>
      <c r="F11" s="70">
        <f>H36*D35</f>
        <v>11.200000000000001</v>
      </c>
      <c r="G11" s="70">
        <f>((H36*D35)*D45*1.1)/D41</f>
        <v>2.4640000000000004</v>
      </c>
      <c r="H11" s="52" t="s">
        <v>102</v>
      </c>
      <c r="I11" s="8"/>
      <c r="J11" s="23"/>
      <c r="K11" s="8"/>
      <c r="L11" s="8"/>
      <c r="M11" s="8"/>
      <c r="N11" s="8"/>
      <c r="O11" s="8"/>
    </row>
    <row r="12" spans="1:15" ht="15.75" customHeight="1">
      <c r="A12" s="239"/>
      <c r="B12" s="153"/>
      <c r="C12" s="15" t="s">
        <v>87</v>
      </c>
      <c r="D12" s="70">
        <f>D41*D11</f>
        <v>3</v>
      </c>
      <c r="E12" s="70">
        <f>D41*E11</f>
        <v>6600</v>
      </c>
      <c r="F12" s="70">
        <f>D41*F11</f>
        <v>280</v>
      </c>
      <c r="G12" s="70">
        <f>(H36*D35)*D45*1.1</f>
        <v>61.600000000000016</v>
      </c>
      <c r="H12" s="52" t="s">
        <v>17</v>
      </c>
      <c r="I12" s="8"/>
      <c r="J12" s="23"/>
      <c r="K12" s="8"/>
      <c r="L12" s="8"/>
      <c r="M12" s="8"/>
      <c r="N12" s="8"/>
      <c r="O12" s="8"/>
    </row>
    <row r="13" spans="1:15" ht="15.75" customHeight="1">
      <c r="A13" s="239"/>
      <c r="B13" s="153"/>
      <c r="C13" s="29"/>
      <c r="D13" s="29"/>
      <c r="E13" s="29"/>
      <c r="F13" s="29"/>
      <c r="G13" s="29"/>
      <c r="H13" s="51"/>
      <c r="I13" s="8"/>
      <c r="J13" s="23"/>
      <c r="K13" s="8"/>
      <c r="L13" s="8"/>
      <c r="M13" s="8"/>
      <c r="N13" s="8"/>
      <c r="O13" s="8"/>
    </row>
    <row r="14" spans="1:15" ht="15.75" customHeight="1">
      <c r="A14" s="239"/>
      <c r="B14" s="113"/>
      <c r="C14" s="8"/>
      <c r="D14" s="8"/>
      <c r="E14" s="8"/>
      <c r="F14" s="63"/>
      <c r="G14" s="63"/>
      <c r="H14" s="8"/>
      <c r="I14" s="8"/>
      <c r="J14" s="23"/>
      <c r="K14" s="8"/>
      <c r="L14" s="8"/>
      <c r="M14" s="8"/>
      <c r="N14" s="8"/>
      <c r="O14" s="8"/>
    </row>
    <row r="15" spans="1:15" ht="22">
      <c r="A15" s="239"/>
      <c r="B15" s="153"/>
      <c r="C15" s="98" t="s">
        <v>79</v>
      </c>
      <c r="D15" s="51"/>
      <c r="E15" s="51"/>
      <c r="F15" s="51"/>
      <c r="G15" s="29"/>
      <c r="H15" s="29"/>
      <c r="I15" s="8"/>
      <c r="J15" s="23"/>
      <c r="K15" s="8"/>
      <c r="L15" s="8"/>
      <c r="M15" s="8"/>
      <c r="N15" s="8"/>
      <c r="O15" s="8"/>
    </row>
    <row r="16" spans="1:15" ht="32" customHeight="1">
      <c r="A16" s="239"/>
      <c r="B16" s="153"/>
      <c r="C16" s="29"/>
      <c r="D16" s="171" t="s">
        <v>111</v>
      </c>
      <c r="E16" s="171" t="s">
        <v>112</v>
      </c>
      <c r="F16" s="172" t="s">
        <v>113</v>
      </c>
      <c r="G16" s="172" t="s">
        <v>114</v>
      </c>
      <c r="H16" s="51"/>
      <c r="I16" s="8"/>
      <c r="J16" s="8"/>
      <c r="K16" s="8"/>
      <c r="L16" s="8"/>
      <c r="M16" s="8"/>
      <c r="N16" s="8"/>
      <c r="O16" s="8"/>
    </row>
    <row r="17" spans="1:15" ht="16.5" customHeight="1">
      <c r="A17" s="239"/>
      <c r="B17" s="153"/>
      <c r="C17" s="26" t="s">
        <v>86</v>
      </c>
      <c r="D17" s="70">
        <f>D61+D60+D59+D50</f>
        <v>19600</v>
      </c>
      <c r="E17" s="70">
        <f>E61+E60+E59+E50</f>
        <v>14000</v>
      </c>
      <c r="F17" s="70">
        <f>F61+F60+F59+F50</f>
        <v>16448.486055776892</v>
      </c>
      <c r="G17" s="70">
        <f>F61+F60+F59+G50</f>
        <v>16293.666932270917</v>
      </c>
      <c r="H17" s="52" t="s">
        <v>9</v>
      </c>
      <c r="I17" s="8"/>
      <c r="J17" s="8"/>
      <c r="K17" s="8"/>
      <c r="L17" s="8"/>
      <c r="M17" s="8"/>
      <c r="N17" s="8"/>
      <c r="O17" s="8"/>
    </row>
    <row r="18" spans="1:15" ht="15.75" customHeight="1">
      <c r="A18" s="239"/>
      <c r="B18" s="153"/>
      <c r="C18" s="29"/>
      <c r="D18" s="29"/>
      <c r="E18" s="29"/>
      <c r="F18" s="29"/>
      <c r="G18" s="29"/>
      <c r="H18" s="51"/>
      <c r="I18" s="8"/>
      <c r="J18" s="8"/>
      <c r="K18" s="8"/>
      <c r="L18" s="8"/>
      <c r="M18" s="8"/>
      <c r="N18" s="8"/>
      <c r="O18" s="8"/>
    </row>
    <row r="19" spans="1:15" ht="15.75" customHeight="1">
      <c r="A19" s="239"/>
      <c r="B19" s="113"/>
      <c r="C19" s="14"/>
      <c r="D19" s="14"/>
      <c r="E19" s="14"/>
      <c r="F19" s="14"/>
      <c r="G19" s="14"/>
      <c r="H19" s="14"/>
      <c r="I19" s="14"/>
      <c r="J19" s="8"/>
      <c r="K19" s="8"/>
      <c r="L19" s="8"/>
      <c r="M19" s="8"/>
      <c r="N19" s="8"/>
      <c r="O19" s="8"/>
    </row>
    <row r="20" spans="1:15" ht="22">
      <c r="A20" s="239"/>
      <c r="B20" s="153"/>
      <c r="C20" s="98" t="s">
        <v>108</v>
      </c>
      <c r="D20" s="51"/>
      <c r="E20" s="51"/>
      <c r="F20" s="51"/>
      <c r="G20" s="29"/>
      <c r="H20" s="29"/>
      <c r="I20" s="8"/>
      <c r="J20" s="8"/>
      <c r="K20" s="8"/>
      <c r="L20" s="8"/>
      <c r="M20" s="8"/>
      <c r="N20" s="8"/>
      <c r="O20" s="8"/>
    </row>
    <row r="21" spans="1:15" ht="31" customHeight="1">
      <c r="A21" s="239"/>
      <c r="B21" s="153"/>
      <c r="C21" s="29"/>
      <c r="D21" s="171" t="s">
        <v>111</v>
      </c>
      <c r="E21" s="171" t="s">
        <v>112</v>
      </c>
      <c r="F21" s="172" t="s">
        <v>113</v>
      </c>
      <c r="G21" s="172" t="s">
        <v>114</v>
      </c>
      <c r="H21" s="29"/>
      <c r="I21" s="8"/>
      <c r="J21" s="8"/>
      <c r="K21" s="8"/>
      <c r="L21" s="8"/>
      <c r="M21" s="8"/>
      <c r="N21" s="8"/>
      <c r="O21" s="8"/>
    </row>
    <row r="22" spans="1:15" ht="15.75" customHeight="1">
      <c r="B22" s="154"/>
      <c r="C22" s="26" t="s">
        <v>82</v>
      </c>
      <c r="D22" s="70">
        <f>IF(D36&gt;0, D49+D38*D55+D40*D58, 0)</f>
        <v>886</v>
      </c>
      <c r="E22" s="70">
        <f>IF(D36&gt;0, E49+D38*E55+E58*D40, 0)</f>
        <v>623</v>
      </c>
      <c r="F22" s="70">
        <f>IF(D36&gt;0, F55*D38+D40*F58+F49, 0)</f>
        <v>753.93944223107565</v>
      </c>
      <c r="G22" s="70">
        <f>IF(D36&gt;0, G49+D38*F55+D40*F58, 0)</f>
        <v>747.7466772908366</v>
      </c>
      <c r="H22" s="30" t="s">
        <v>9</v>
      </c>
      <c r="I22" s="8"/>
      <c r="J22" s="8"/>
      <c r="K22" s="8"/>
      <c r="L22" s="8"/>
      <c r="M22" s="8"/>
      <c r="N22" s="8"/>
      <c r="O22" s="8"/>
    </row>
    <row r="23" spans="1:15" ht="15.75" customHeight="1">
      <c r="A23" s="108"/>
      <c r="B23" s="155"/>
      <c r="C23" s="12" t="s">
        <v>83</v>
      </c>
      <c r="D23" s="88">
        <f>IF(D36&gt;0, D49, 0)</f>
        <v>100</v>
      </c>
      <c r="E23" s="88">
        <f>IF(D36&gt;0, E49, 0)</f>
        <v>150</v>
      </c>
      <c r="F23" s="88">
        <f>IF(D36&gt;0, F49, 0)</f>
        <v>7.9394422310756969</v>
      </c>
      <c r="G23" s="88">
        <f>IF(D36&gt;0, G49, 0)</f>
        <v>1.7466772908366535</v>
      </c>
      <c r="H23" s="30" t="s">
        <v>9</v>
      </c>
      <c r="I23" s="8"/>
      <c r="J23" s="8"/>
      <c r="K23" s="8"/>
      <c r="L23" s="8"/>
      <c r="M23" s="8"/>
      <c r="N23" s="8"/>
      <c r="O23" s="8"/>
    </row>
    <row r="24" spans="1:15" ht="15.75" customHeight="1">
      <c r="A24" s="108"/>
      <c r="B24" s="155"/>
      <c r="C24" s="12" t="s">
        <v>110</v>
      </c>
      <c r="D24" s="88">
        <f>IF(D36&gt;0, D38*D55+D40*D58, 0)</f>
        <v>786</v>
      </c>
      <c r="E24" s="88">
        <f>IF(D36&gt;0, D38*E55+E58*D40, 0)</f>
        <v>473</v>
      </c>
      <c r="F24" s="88">
        <f>IF(D36&gt;0, F55*D38+D40*F58, 0)</f>
        <v>746</v>
      </c>
      <c r="G24" s="88">
        <f>IF(D36&gt;0, D38*F55+D40*F58, 0)</f>
        <v>746</v>
      </c>
      <c r="H24" s="30" t="s">
        <v>9</v>
      </c>
      <c r="I24" s="8"/>
      <c r="J24" s="8"/>
      <c r="K24" s="8"/>
      <c r="L24" s="8"/>
      <c r="M24" s="8"/>
      <c r="N24" s="8"/>
      <c r="O24" s="8"/>
    </row>
    <row r="25" spans="1:15" ht="15.75" customHeight="1">
      <c r="A25" s="109"/>
      <c r="B25" s="156"/>
      <c r="C25" s="26" t="s">
        <v>85</v>
      </c>
      <c r="D25" s="70">
        <f>IF(D37&gt;0, D49+D39*D55+D40*D58, 0)</f>
        <v>716</v>
      </c>
      <c r="E25" s="70">
        <f>IF(D37&gt;0, E49+D39*E55+E58*D40, 0)</f>
        <v>518</v>
      </c>
      <c r="F25" s="70">
        <f>IF(D37&gt;0, F55*D39+D40*F58+F49, 0)</f>
        <v>593.93944223107565</v>
      </c>
      <c r="G25" s="70">
        <f>IF(D37&gt;0, G49+D39*F55+D40*F58, 0)</f>
        <v>587.74667729083671</v>
      </c>
      <c r="H25" s="30" t="s">
        <v>9</v>
      </c>
      <c r="I25" s="8"/>
      <c r="J25" s="8"/>
      <c r="K25" s="8"/>
      <c r="L25" s="8"/>
      <c r="M25" s="8"/>
      <c r="N25" s="8"/>
      <c r="O25" s="8"/>
    </row>
    <row r="26" spans="1:15" ht="15.75" customHeight="1">
      <c r="B26" s="154"/>
      <c r="C26" s="12" t="s">
        <v>83</v>
      </c>
      <c r="D26" s="88">
        <f>IF(D37&gt;0, D49, 0)</f>
        <v>100</v>
      </c>
      <c r="E26" s="88">
        <f>IF(D37&gt;0, E49, 0)</f>
        <v>150</v>
      </c>
      <c r="F26" s="88">
        <f>IF(D37&gt;0, F49, 0)</f>
        <v>7.9394422310756969</v>
      </c>
      <c r="G26" s="88">
        <f>IF(D37&gt;0, G49, 0)</f>
        <v>1.7466772908366535</v>
      </c>
      <c r="H26" s="30" t="s">
        <v>9</v>
      </c>
      <c r="I26" s="8"/>
      <c r="J26" s="8"/>
      <c r="K26" s="8"/>
      <c r="L26" s="8"/>
      <c r="M26" s="8"/>
      <c r="N26" s="8"/>
      <c r="O26" s="8"/>
    </row>
    <row r="27" spans="1:15" ht="15.75" customHeight="1">
      <c r="B27" s="154"/>
      <c r="C27" s="12" t="s">
        <v>110</v>
      </c>
      <c r="D27" s="88">
        <f>IF(D37&gt;0, D39*D55+D40*D58, 0)</f>
        <v>616</v>
      </c>
      <c r="E27" s="88">
        <f>IF(D37&gt;0, D39*E55+E58*D40, 0)</f>
        <v>368</v>
      </c>
      <c r="F27" s="88">
        <f>IF(D37&gt;0, F55*D39+D40*F58, 0)</f>
        <v>586</v>
      </c>
      <c r="G27" s="88">
        <f>IF(D37&gt;0, D39*F55+D40*F58, 0)</f>
        <v>586</v>
      </c>
      <c r="H27" s="30" t="s">
        <v>9</v>
      </c>
      <c r="I27" s="8"/>
      <c r="J27" s="8"/>
      <c r="K27" s="8"/>
      <c r="L27" s="8"/>
      <c r="M27" s="8"/>
      <c r="N27" s="8"/>
      <c r="O27" s="8"/>
    </row>
    <row r="28" spans="1:15" ht="15.75" customHeight="1">
      <c r="B28" s="154"/>
      <c r="C28" s="51"/>
      <c r="D28" s="51"/>
      <c r="E28" s="51"/>
      <c r="F28" s="51"/>
      <c r="G28" s="51"/>
      <c r="H28" s="51"/>
      <c r="I28" s="8"/>
      <c r="J28" s="8"/>
      <c r="K28" s="8"/>
      <c r="L28" s="8"/>
      <c r="M28" s="8"/>
      <c r="N28" s="8"/>
      <c r="O28" s="8"/>
    </row>
    <row r="29" spans="1:15" ht="16"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6">
      <c r="C30" s="1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22">
      <c r="C31" s="99" t="s">
        <v>115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5.75" customHeight="1">
      <c r="C32" s="14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2:15" ht="15" customHeight="1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2:15" ht="15.75" customHeight="1" thickBot="1">
      <c r="C34" s="31" t="s">
        <v>116</v>
      </c>
      <c r="D34" s="8"/>
      <c r="E34" s="8"/>
      <c r="F34" s="57" t="s">
        <v>123</v>
      </c>
      <c r="G34" s="7"/>
      <c r="H34" s="8"/>
      <c r="I34" s="8"/>
      <c r="J34" s="8"/>
      <c r="K34" s="19" t="s">
        <v>219</v>
      </c>
      <c r="L34" s="8"/>
      <c r="M34" s="8"/>
      <c r="N34" s="8"/>
      <c r="O34" s="8"/>
    </row>
    <row r="35" spans="2:15" ht="15.75" customHeight="1" thickBot="1">
      <c r="C35" s="18" t="s">
        <v>117</v>
      </c>
      <c r="D35" s="90">
        <v>100</v>
      </c>
      <c r="E35" s="8" t="s">
        <v>2</v>
      </c>
      <c r="F35" s="56" t="s">
        <v>124</v>
      </c>
      <c r="G35" s="55"/>
      <c r="H35" s="71">
        <v>1.1999999999999999E-3</v>
      </c>
      <c r="I35" s="41" t="s">
        <v>127</v>
      </c>
      <c r="J35" s="8"/>
      <c r="K35" s="58" t="s">
        <v>186</v>
      </c>
      <c r="L35" s="145">
        <v>250</v>
      </c>
      <c r="M35" s="8"/>
      <c r="N35" s="8"/>
      <c r="O35" s="8"/>
    </row>
    <row r="36" spans="2:15" ht="15.75" customHeight="1" thickBot="1">
      <c r="C36" s="18" t="s">
        <v>24</v>
      </c>
      <c r="D36" s="90">
        <v>10</v>
      </c>
      <c r="E36" s="8" t="s">
        <v>91</v>
      </c>
      <c r="F36" s="56" t="s">
        <v>125</v>
      </c>
      <c r="G36" s="55"/>
      <c r="H36" s="71">
        <v>0.112</v>
      </c>
      <c r="I36" s="41" t="s">
        <v>21</v>
      </c>
      <c r="J36" s="8"/>
      <c r="K36" s="196" t="s">
        <v>187</v>
      </c>
      <c r="L36" s="147">
        <v>250</v>
      </c>
      <c r="M36" s="8"/>
      <c r="N36" s="8"/>
      <c r="O36" s="8"/>
    </row>
    <row r="37" spans="2:15" ht="15.75" customHeight="1" thickBot="1">
      <c r="C37" s="18" t="s">
        <v>25</v>
      </c>
      <c r="D37" s="90">
        <v>15</v>
      </c>
      <c r="E37" s="8" t="s">
        <v>91</v>
      </c>
      <c r="F37" s="56" t="s">
        <v>126</v>
      </c>
      <c r="G37" s="55"/>
      <c r="H37" s="71">
        <v>0.13100000000000001</v>
      </c>
      <c r="I37" s="41" t="s">
        <v>21</v>
      </c>
      <c r="J37" s="8"/>
      <c r="K37" s="58" t="s">
        <v>188</v>
      </c>
      <c r="L37" s="148">
        <v>250</v>
      </c>
      <c r="M37" s="8"/>
      <c r="N37" s="8"/>
      <c r="O37" s="8"/>
    </row>
    <row r="38" spans="2:15" ht="15.75" customHeight="1" thickBot="1">
      <c r="C38" s="200" t="s">
        <v>89</v>
      </c>
      <c r="D38" s="72">
        <v>40</v>
      </c>
      <c r="E38" s="8" t="s">
        <v>9</v>
      </c>
      <c r="F38" s="58"/>
      <c r="G38" s="58"/>
      <c r="H38" s="8"/>
      <c r="I38" s="8"/>
      <c r="J38" s="8"/>
      <c r="K38" s="8"/>
      <c r="L38" s="8"/>
      <c r="M38" s="8"/>
      <c r="N38" s="8"/>
      <c r="O38" s="8"/>
    </row>
    <row r="39" spans="2:15" ht="15.75" customHeight="1" thickBot="1">
      <c r="C39" s="201" t="s">
        <v>90</v>
      </c>
      <c r="D39" s="72">
        <v>30</v>
      </c>
      <c r="E39" s="8" t="s">
        <v>9</v>
      </c>
      <c r="F39" s="57" t="s">
        <v>128</v>
      </c>
      <c r="G39" s="7"/>
      <c r="H39" s="8"/>
      <c r="J39" s="8"/>
      <c r="K39" s="8"/>
      <c r="L39" s="8"/>
      <c r="M39" s="8"/>
      <c r="N39" s="8"/>
      <c r="O39" s="8"/>
    </row>
    <row r="40" spans="2:15" ht="15.75" customHeight="1" thickBot="1">
      <c r="C40" s="27" t="s">
        <v>189</v>
      </c>
      <c r="D40" s="72">
        <v>53</v>
      </c>
      <c r="E40" s="8" t="s">
        <v>9</v>
      </c>
      <c r="F40" s="56" t="s">
        <v>129</v>
      </c>
      <c r="G40" s="55"/>
      <c r="H40" s="72">
        <v>1.88</v>
      </c>
      <c r="I40" s="8" t="s">
        <v>1</v>
      </c>
      <c r="J40" s="8"/>
      <c r="K40" s="9"/>
      <c r="L40" s="8"/>
      <c r="M40" s="8"/>
      <c r="N40" s="8"/>
      <c r="O40" s="8"/>
    </row>
    <row r="41" spans="2:15" ht="15.75" customHeight="1" thickBot="1">
      <c r="B41" s="152"/>
      <c r="C41" s="18" t="s">
        <v>119</v>
      </c>
      <c r="D41" s="60">
        <f>D36+D37</f>
        <v>25</v>
      </c>
      <c r="E41" s="8" t="s">
        <v>91</v>
      </c>
      <c r="F41" s="56" t="s">
        <v>130</v>
      </c>
      <c r="G41" s="55"/>
      <c r="H41" s="54">
        <f>H40/1.255</f>
        <v>1.49800796812749</v>
      </c>
      <c r="I41" s="8" t="s">
        <v>1</v>
      </c>
      <c r="J41" s="8"/>
      <c r="K41" s="9"/>
      <c r="L41" s="8"/>
      <c r="M41" s="8"/>
      <c r="N41" s="8"/>
      <c r="O41" s="8"/>
    </row>
    <row r="42" spans="2:15" ht="15.75" customHeight="1" thickBot="1">
      <c r="C42" s="8"/>
      <c r="D42" s="76"/>
      <c r="E42" s="8"/>
      <c r="F42" s="56" t="s">
        <v>131</v>
      </c>
      <c r="G42" s="55"/>
      <c r="H42" s="72">
        <v>5.3</v>
      </c>
      <c r="I42" s="14" t="s">
        <v>0</v>
      </c>
      <c r="J42" s="8"/>
      <c r="K42" s="8"/>
      <c r="L42" s="8"/>
      <c r="M42" s="8"/>
      <c r="N42" s="8"/>
      <c r="O42" s="8"/>
    </row>
    <row r="43" spans="2:15" ht="15.75" customHeight="1" thickBot="1">
      <c r="C43" s="31" t="s">
        <v>120</v>
      </c>
      <c r="D43" s="79"/>
      <c r="F43" s="56" t="s">
        <v>132</v>
      </c>
      <c r="G43" s="55"/>
      <c r="H43" s="54">
        <f>1.1*H42</f>
        <v>5.83</v>
      </c>
      <c r="I43" s="14" t="s">
        <v>0</v>
      </c>
      <c r="J43" s="8"/>
      <c r="K43" s="8"/>
      <c r="L43" s="8"/>
      <c r="M43" s="8"/>
      <c r="N43" s="8"/>
      <c r="O43" s="8"/>
    </row>
    <row r="44" spans="2:15" ht="15" customHeight="1" thickBot="1">
      <c r="C44" s="27" t="s">
        <v>121</v>
      </c>
      <c r="D44" s="90">
        <v>5</v>
      </c>
      <c r="E44" s="14" t="s">
        <v>91</v>
      </c>
      <c r="F44" s="58"/>
      <c r="G44" s="58"/>
      <c r="H44" s="8"/>
      <c r="I44" s="8"/>
      <c r="J44" s="8"/>
      <c r="K44" s="8"/>
      <c r="L44" s="8"/>
      <c r="M44" s="8"/>
      <c r="N44" s="8"/>
      <c r="O44" s="8"/>
    </row>
    <row r="45" spans="2:15" ht="15.75" customHeight="1" thickBot="1">
      <c r="C45" s="18" t="s">
        <v>122</v>
      </c>
      <c r="D45" s="60">
        <f>CEILING(D41/D44, 1)</f>
        <v>5</v>
      </c>
      <c r="E45" s="14" t="s">
        <v>118</v>
      </c>
      <c r="F45" s="59" t="s">
        <v>133</v>
      </c>
      <c r="G45" s="7"/>
      <c r="H45" s="8"/>
      <c r="I45" s="8"/>
      <c r="J45" s="8"/>
      <c r="K45" s="8"/>
      <c r="L45" s="8"/>
      <c r="M45" s="8"/>
      <c r="N45" s="8"/>
      <c r="O45" s="8"/>
    </row>
    <row r="46" spans="2:15" ht="15.75" customHeight="1" thickBot="1">
      <c r="C46" s="8"/>
      <c r="D46" s="8"/>
      <c r="E46" s="8"/>
      <c r="F46" s="56" t="s">
        <v>134</v>
      </c>
      <c r="G46" s="55"/>
      <c r="H46" s="72">
        <v>264</v>
      </c>
      <c r="I46" s="41" t="s">
        <v>102</v>
      </c>
      <c r="J46" s="8"/>
      <c r="K46" s="8"/>
      <c r="L46" s="8"/>
      <c r="M46" s="8"/>
      <c r="N46" s="8"/>
      <c r="O46" s="8"/>
    </row>
    <row r="47" spans="2:15" ht="15" customHeight="1">
      <c r="D47" s="62"/>
      <c r="E47" s="62"/>
      <c r="F47" s="62"/>
      <c r="G47" s="62"/>
      <c r="H47" s="24"/>
      <c r="I47" s="24"/>
      <c r="J47" s="23"/>
      <c r="K47" s="8"/>
      <c r="L47" s="8"/>
      <c r="M47" s="8"/>
      <c r="N47" s="8"/>
      <c r="O47" s="8"/>
    </row>
    <row r="48" spans="2:15" ht="38" customHeight="1" thickBot="1">
      <c r="C48" s="31" t="s">
        <v>135</v>
      </c>
      <c r="D48" s="62" t="s">
        <v>136</v>
      </c>
      <c r="E48" s="62" t="s">
        <v>137</v>
      </c>
      <c r="F48" s="188" t="s">
        <v>138</v>
      </c>
      <c r="G48" s="188" t="s">
        <v>139</v>
      </c>
      <c r="H48" s="24"/>
      <c r="I48" s="24"/>
      <c r="J48" s="23"/>
      <c r="K48" s="8"/>
      <c r="L48" s="8"/>
      <c r="M48" s="8"/>
      <c r="N48" s="8"/>
      <c r="O48" s="8"/>
    </row>
    <row r="49" spans="1:15" ht="15.75" customHeight="1" thickBot="1">
      <c r="C49" s="18" t="s">
        <v>97</v>
      </c>
      <c r="D49" s="86">
        <v>100</v>
      </c>
      <c r="E49" s="86">
        <v>150</v>
      </c>
      <c r="F49" s="50">
        <f>(D35*H42*0.01)*H41</f>
        <v>7.9394422310756969</v>
      </c>
      <c r="G49" s="50">
        <f>(D35*H43*0.01*H41*D45)/D41</f>
        <v>1.7466772908366535</v>
      </c>
      <c r="H49" s="63" t="s">
        <v>140</v>
      </c>
      <c r="I49" s="63"/>
      <c r="J49" s="23"/>
      <c r="K49" s="8"/>
      <c r="L49" s="8"/>
      <c r="M49" s="8"/>
      <c r="N49" s="8"/>
      <c r="O49" s="8"/>
    </row>
    <row r="50" spans="1:15" ht="15.75" customHeight="1">
      <c r="C50" s="18" t="s">
        <v>141</v>
      </c>
      <c r="D50" s="50">
        <f>D41*D49</f>
        <v>2500</v>
      </c>
      <c r="E50" s="50">
        <f>D41*E49</f>
        <v>3750</v>
      </c>
      <c r="F50" s="50">
        <f>D41*F49</f>
        <v>198.48605577689241</v>
      </c>
      <c r="G50" s="50">
        <f>D35*H43*0.01*H41*D45</f>
        <v>43.666932270916334</v>
      </c>
      <c r="H50" s="63" t="s">
        <v>23</v>
      </c>
      <c r="I50" s="63"/>
      <c r="J50" s="23"/>
      <c r="K50" s="8"/>
      <c r="L50" s="8"/>
      <c r="M50" s="8"/>
      <c r="N50" s="8"/>
      <c r="O50" s="8"/>
    </row>
    <row r="51" spans="1:15" ht="15.75" customHeight="1">
      <c r="D51" s="62"/>
      <c r="E51" s="62"/>
      <c r="F51" s="62"/>
      <c r="G51" s="77"/>
      <c r="H51" s="8"/>
      <c r="I51" s="24"/>
      <c r="J51" s="24"/>
      <c r="K51" s="24"/>
      <c r="L51" s="8"/>
      <c r="M51" s="8"/>
      <c r="N51" s="8"/>
      <c r="O51" s="8"/>
    </row>
    <row r="52" spans="1:15" ht="15.75" customHeight="1" thickBot="1">
      <c r="C52" s="31" t="s">
        <v>142</v>
      </c>
      <c r="D52" s="62" t="s">
        <v>146</v>
      </c>
      <c r="E52" s="62" t="s">
        <v>147</v>
      </c>
      <c r="F52" s="62" t="s">
        <v>148</v>
      </c>
      <c r="G52" s="77"/>
      <c r="H52" s="8"/>
      <c r="I52" s="89" t="s">
        <v>149</v>
      </c>
      <c r="J52" s="63"/>
      <c r="K52" s="22"/>
      <c r="L52" s="8"/>
      <c r="M52" s="8"/>
      <c r="N52" s="8"/>
      <c r="O52" s="8"/>
    </row>
    <row r="53" spans="1:15" ht="15.75" customHeight="1" thickBot="1">
      <c r="C53" s="18" t="s">
        <v>143</v>
      </c>
      <c r="D53" s="72">
        <v>17</v>
      </c>
      <c r="E53" s="72">
        <v>5</v>
      </c>
      <c r="F53" s="72">
        <v>14.75</v>
      </c>
      <c r="G53" s="78" t="s">
        <v>15</v>
      </c>
      <c r="H53" s="8"/>
      <c r="I53" s="27" t="s">
        <v>93</v>
      </c>
      <c r="J53" s="73">
        <v>0.41666666666666669</v>
      </c>
      <c r="K53" s="10" t="s">
        <v>22</v>
      </c>
      <c r="L53" s="8"/>
      <c r="M53" s="8"/>
      <c r="N53" s="8"/>
      <c r="O53" s="8"/>
    </row>
    <row r="54" spans="1:15" ht="15.75" customHeight="1" thickBot="1">
      <c r="C54" s="18" t="s">
        <v>144</v>
      </c>
      <c r="D54" s="72">
        <v>0</v>
      </c>
      <c r="E54" s="72">
        <v>5.5</v>
      </c>
      <c r="F54" s="72">
        <v>1.25</v>
      </c>
      <c r="G54" s="78" t="s">
        <v>15</v>
      </c>
      <c r="H54" s="8"/>
      <c r="I54" s="27" t="s">
        <v>94</v>
      </c>
      <c r="J54" s="74">
        <v>0.125</v>
      </c>
      <c r="K54" s="10" t="s">
        <v>22</v>
      </c>
      <c r="L54" s="8"/>
      <c r="M54" s="8"/>
      <c r="N54" s="8"/>
      <c r="O54" s="8"/>
    </row>
    <row r="55" spans="1:15" ht="15.75" customHeight="1">
      <c r="C55" s="18" t="s">
        <v>145</v>
      </c>
      <c r="D55" s="61">
        <f>D53+D54</f>
        <v>17</v>
      </c>
      <c r="E55" s="61">
        <f>E53+E54</f>
        <v>10.5</v>
      </c>
      <c r="F55" s="61">
        <f>F53+F54</f>
        <v>16</v>
      </c>
      <c r="G55" s="78" t="s">
        <v>15</v>
      </c>
      <c r="H55" s="8"/>
      <c r="I55" s="18" t="s">
        <v>150</v>
      </c>
      <c r="J55" s="61">
        <f>MOD(J54-J53, 1)*24</f>
        <v>17</v>
      </c>
      <c r="K55" s="8" t="s">
        <v>15</v>
      </c>
      <c r="L55" s="8"/>
      <c r="M55" s="8"/>
      <c r="N55" s="8"/>
      <c r="O55" s="8"/>
    </row>
    <row r="56" spans="1:15" ht="15.75" customHeight="1">
      <c r="C56" s="8"/>
      <c r="D56" s="64"/>
      <c r="E56" s="64"/>
      <c r="F56" s="8"/>
      <c r="G56" s="79"/>
      <c r="H56" s="8"/>
      <c r="I56" s="23"/>
      <c r="J56" s="23"/>
      <c r="K56" s="23"/>
      <c r="L56" s="8"/>
      <c r="M56" s="8"/>
      <c r="N56" s="8"/>
      <c r="O56" s="8"/>
    </row>
    <row r="57" spans="1:15" ht="15.75" customHeight="1" thickBot="1">
      <c r="C57" s="31" t="s">
        <v>193</v>
      </c>
      <c r="D57" s="62" t="s">
        <v>146</v>
      </c>
      <c r="E57" s="62" t="s">
        <v>147</v>
      </c>
      <c r="F57" s="62" t="s">
        <v>148</v>
      </c>
      <c r="G57" s="8"/>
      <c r="H57" s="8"/>
      <c r="I57" s="23"/>
      <c r="J57" s="23"/>
      <c r="K57" s="23"/>
      <c r="L57" s="8"/>
      <c r="M57" s="8"/>
      <c r="N57" s="8"/>
      <c r="O57" s="8"/>
    </row>
    <row r="58" spans="1:15" ht="15.75" customHeight="1" thickBot="1">
      <c r="C58" s="25" t="s">
        <v>190</v>
      </c>
      <c r="D58" s="90">
        <v>2</v>
      </c>
      <c r="E58" s="90">
        <v>1</v>
      </c>
      <c r="F58" s="90">
        <v>2</v>
      </c>
      <c r="G58" s="8" t="s">
        <v>118</v>
      </c>
      <c r="H58" s="8"/>
      <c r="I58" s="8"/>
      <c r="J58" s="23"/>
      <c r="K58" s="8"/>
      <c r="L58" s="8"/>
      <c r="M58" s="8"/>
      <c r="N58" s="8"/>
      <c r="O58" s="8"/>
    </row>
    <row r="59" spans="1:15" ht="15.75" customHeight="1">
      <c r="C59" s="25" t="s">
        <v>194</v>
      </c>
      <c r="D59" s="50">
        <f>D40*D58*D41</f>
        <v>2650</v>
      </c>
      <c r="E59" s="50">
        <f>D40*E58*D41</f>
        <v>1325</v>
      </c>
      <c r="F59" s="50">
        <f>D40*F58*D41</f>
        <v>2650</v>
      </c>
      <c r="G59" s="8" t="s">
        <v>9</v>
      </c>
      <c r="H59" s="8"/>
      <c r="I59" s="8"/>
      <c r="J59" s="23"/>
      <c r="K59" s="8"/>
      <c r="L59" s="8"/>
      <c r="M59" s="8"/>
      <c r="N59" s="8"/>
      <c r="O59" s="8"/>
    </row>
    <row r="60" spans="1:15" ht="15.75" customHeight="1">
      <c r="C60" s="25" t="s">
        <v>191</v>
      </c>
      <c r="D60" s="50">
        <f>D36*D38*D55</f>
        <v>6800</v>
      </c>
      <c r="E60" s="50">
        <f>D36*D38*E55</f>
        <v>4200</v>
      </c>
      <c r="F60" s="50">
        <f>D36*D38*F55</f>
        <v>6400</v>
      </c>
      <c r="G60" s="8" t="s">
        <v>9</v>
      </c>
      <c r="H60" s="8"/>
      <c r="I60" s="8"/>
      <c r="J60" s="23"/>
      <c r="K60" s="8"/>
      <c r="L60" s="8"/>
      <c r="M60" s="8"/>
      <c r="N60" s="8"/>
      <c r="O60" s="8"/>
    </row>
    <row r="61" spans="1:15" ht="15.75" customHeight="1">
      <c r="C61" s="25" t="s">
        <v>192</v>
      </c>
      <c r="D61" s="50">
        <f>D37*D39*D55</f>
        <v>7650</v>
      </c>
      <c r="E61" s="50">
        <f>D37*D39*E55</f>
        <v>4725</v>
      </c>
      <c r="F61" s="50">
        <f>D37*D39*F55</f>
        <v>7200</v>
      </c>
      <c r="G61" s="8" t="s">
        <v>9</v>
      </c>
      <c r="H61" s="8"/>
      <c r="I61" s="8"/>
      <c r="J61" s="23"/>
      <c r="K61" s="8"/>
      <c r="L61" s="8"/>
      <c r="M61" s="8"/>
      <c r="N61" s="8"/>
      <c r="O61" s="8"/>
    </row>
    <row r="62" spans="1:15" ht="15.75" customHeight="1">
      <c r="C62" s="8"/>
      <c r="D62" s="8"/>
      <c r="E62" s="8"/>
      <c r="F62" s="63"/>
      <c r="G62" s="63"/>
      <c r="H62" s="8"/>
      <c r="I62" s="8"/>
      <c r="J62" s="23"/>
      <c r="K62" s="8"/>
      <c r="L62" s="8"/>
      <c r="M62" s="8"/>
      <c r="N62" s="8"/>
      <c r="O62" s="8"/>
    </row>
    <row r="63" spans="1:15" ht="16">
      <c r="C63" s="8"/>
      <c r="D63" s="8"/>
      <c r="E63" s="8"/>
      <c r="F63" s="63"/>
      <c r="G63" s="63"/>
      <c r="H63" s="8"/>
      <c r="I63" s="8"/>
      <c r="J63" s="23"/>
      <c r="K63" s="8"/>
      <c r="L63" s="8"/>
      <c r="M63" s="8"/>
      <c r="N63" s="8"/>
      <c r="O63" s="8"/>
    </row>
    <row r="64" spans="1:15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ht="1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ht="1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ht="1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ht="1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ht="1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ht="1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ht="1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ht="1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ht="1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ht="1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ht="1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ht="15" customHeight="1">
      <c r="A80"/>
      <c r="B80"/>
      <c r="C80"/>
    </row>
    <row r="81" customFormat="1" ht="15" customHeight="1"/>
    <row r="82" customFormat="1" ht="15" customHeight="1"/>
    <row r="83" customFormat="1" ht="15" customHeight="1"/>
    <row r="84" customFormat="1" ht="15" customHeight="1"/>
    <row r="85" customFormat="1" ht="15" customHeight="1"/>
    <row r="86" customFormat="1" ht="1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  <row r="1001" customFormat="1" ht="15.75" customHeight="1"/>
    <row r="1002" customFormat="1" ht="15.75" customHeight="1"/>
    <row r="1003" customFormat="1" ht="15.75" customHeight="1"/>
    <row r="1004" customFormat="1" ht="15.75" customHeight="1"/>
    <row r="1005" customFormat="1" ht="15.75" customHeight="1"/>
    <row r="1006" customFormat="1" ht="15.75" customHeight="1"/>
    <row r="1007" customFormat="1" ht="15.75" customHeight="1"/>
    <row r="1008" customFormat="1" ht="15.75" customHeight="1"/>
    <row r="1009" customFormat="1" ht="15.75" customHeight="1"/>
    <row r="1010" customFormat="1" ht="15.75" customHeight="1"/>
    <row r="1011" customFormat="1" ht="15.75" customHeight="1"/>
    <row r="1012" customFormat="1" ht="15.75" customHeight="1"/>
    <row r="1013" customFormat="1" ht="15.75" customHeight="1"/>
    <row r="1014" customFormat="1" ht="15.75" customHeight="1"/>
    <row r="1015" customFormat="1" ht="15.75" customHeight="1"/>
    <row r="1016" customFormat="1" ht="15.75" customHeight="1"/>
    <row r="1017" customFormat="1" ht="15.75" customHeight="1"/>
    <row r="1018" customFormat="1" ht="15.75" customHeight="1"/>
    <row r="1019" customFormat="1" ht="15.75" customHeight="1"/>
    <row r="1020" customFormat="1" ht="15.75" customHeight="1"/>
    <row r="1021" customFormat="1" ht="15.75" customHeight="1"/>
    <row r="1022" customFormat="1" ht="15.75" customHeight="1"/>
    <row r="1023" customFormat="1" ht="15.75" customHeight="1"/>
    <row r="1024" customFormat="1" ht="15.75" customHeight="1"/>
    <row r="1025" customFormat="1" ht="15.75" customHeight="1"/>
    <row r="1026" customFormat="1" ht="15.75" customHeight="1"/>
    <row r="1027" customFormat="1" ht="15.75" customHeight="1"/>
    <row r="1028" customFormat="1" ht="15.75" customHeight="1"/>
    <row r="1029" customFormat="1" ht="15.75" customHeight="1"/>
    <row r="1030" customFormat="1" ht="15.75" customHeight="1"/>
    <row r="1031" customFormat="1" ht="15.75" customHeight="1"/>
    <row r="1032" customFormat="1" ht="15.75" customHeight="1"/>
    <row r="1033" customFormat="1" ht="15.75" customHeight="1"/>
    <row r="1034" customFormat="1" ht="15.75" customHeight="1"/>
    <row r="1035" customFormat="1" ht="15.75" customHeight="1"/>
    <row r="1036" customFormat="1" ht="15.75" customHeight="1"/>
    <row r="1037" customFormat="1" ht="15.75" customHeight="1"/>
    <row r="1038" customFormat="1" ht="15.75" customHeight="1"/>
    <row r="1039" customFormat="1" ht="15.75" customHeight="1"/>
    <row r="1040" customFormat="1" ht="15.75" customHeight="1"/>
    <row r="1041" spans="1:3" ht="15.75" customHeight="1">
      <c r="A1041"/>
      <c r="B1041"/>
      <c r="C1041"/>
    </row>
    <row r="1042" spans="1:3" ht="15.75" customHeight="1">
      <c r="A1042"/>
      <c r="B1042"/>
      <c r="C1042"/>
    </row>
    <row r="1043" spans="1:3" ht="15.75" customHeight="1">
      <c r="A1043"/>
      <c r="B1043"/>
      <c r="C1043"/>
    </row>
    <row r="1044" spans="1:3" ht="15.75" customHeight="1">
      <c r="A1044"/>
      <c r="B1044"/>
      <c r="C1044"/>
    </row>
    <row r="1045" spans="1:3" ht="15.75" customHeight="1">
      <c r="A1045"/>
      <c r="B1045"/>
      <c r="C1045"/>
    </row>
    <row r="1046" spans="1:3" ht="15.75" customHeight="1">
      <c r="A1046"/>
      <c r="B1046"/>
      <c r="C1046"/>
    </row>
    <row r="1047" spans="1:3" ht="15.75" customHeight="1"/>
    <row r="1048" spans="1:3" ht="15.75" customHeight="1"/>
  </sheetData>
  <sheetProtection sheet="1" objects="1" scenarios="1"/>
  <mergeCells count="1">
    <mergeCell ref="A9:A21"/>
  </mergeCells>
  <conditionalFormatting sqref="D11:G11">
    <cfRule type="expression" dxfId="5" priority="6" stopIfTrue="1">
      <formula>D11=MIN($D$11:$G$11)</formula>
    </cfRule>
    <cfRule type="expression" dxfId="4" priority="7" stopIfTrue="1">
      <formula>D11=MAX($D$11:$G$11)</formula>
    </cfRule>
  </conditionalFormatting>
  <conditionalFormatting sqref="D12:G12">
    <cfRule type="expression" dxfId="3" priority="8" stopIfTrue="1">
      <formula>D12=MIN($D$12:$G$12)</formula>
    </cfRule>
    <cfRule type="expression" dxfId="2" priority="9" stopIfTrue="1">
      <formula>D12=MAX($D$12:$G$12)</formula>
    </cfRule>
  </conditionalFormatting>
  <conditionalFormatting sqref="D17:G17">
    <cfRule type="top10" dxfId="1" priority="1" bottom="1" rank="1"/>
    <cfRule type="top10" dxfId="0" priority="2" rank="1"/>
  </conditionalFormatting>
  <pageMargins left="0.7" right="0.7" top="0.75" bottom="0.75" header="0" footer="0"/>
  <pageSetup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14CD-AFFF-894A-A03F-4DEFC406D9C6}">
  <dimension ref="A1:X1031"/>
  <sheetViews>
    <sheetView topLeftCell="A13" zoomScale="120" zoomScaleNormal="120" workbookViewId="0">
      <selection activeCell="I21" sqref="I21"/>
    </sheetView>
  </sheetViews>
  <sheetFormatPr baseColWidth="10" defaultColWidth="11.1640625" defaultRowHeight="15" customHeight="1"/>
  <cols>
    <col min="1" max="1" width="12.5" customWidth="1"/>
    <col min="2" max="2" width="2.5" customWidth="1"/>
    <col min="3" max="3" width="19.5" customWidth="1"/>
    <col min="4" max="4" width="12" customWidth="1"/>
    <col min="5" max="5" width="11.6640625" customWidth="1"/>
    <col min="6" max="6" width="13.83203125" customWidth="1"/>
    <col min="7" max="7" width="7.1640625" customWidth="1"/>
    <col min="8" max="8" width="10.1640625" customWidth="1"/>
    <col min="9" max="9" width="9.5" customWidth="1"/>
    <col min="10" max="10" width="13.83203125" customWidth="1"/>
    <col min="11" max="11" width="6.6640625" customWidth="1"/>
    <col min="12" max="12" width="11.33203125" customWidth="1"/>
    <col min="13" max="13" width="15" customWidth="1"/>
    <col min="14" max="14" width="10.5" customWidth="1"/>
    <col min="15" max="15" width="19.5" customWidth="1"/>
    <col min="16" max="16" width="8.5" customWidth="1"/>
    <col min="17" max="17" width="8.33203125" customWidth="1"/>
    <col min="18" max="18" width="8.5" customWidth="1"/>
    <col min="19" max="19" width="8.83203125" customWidth="1"/>
    <col min="20" max="28" width="8.5" customWidth="1"/>
  </cols>
  <sheetData>
    <row r="1" spans="1:24" ht="50" customHeight="1">
      <c r="A1" s="184" t="s">
        <v>29</v>
      </c>
      <c r="B1" s="8"/>
      <c r="C1" s="121" t="s">
        <v>218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6">
      <c r="A2" s="8"/>
      <c r="B2" s="8"/>
      <c r="C2" s="14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5" customHeight="1">
      <c r="A3" s="8"/>
      <c r="B3" s="8"/>
      <c r="C3" s="19" t="s">
        <v>195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5" customHeight="1">
      <c r="A4" s="8"/>
      <c r="B4" s="8"/>
      <c r="C4" s="11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24">
      <c r="A5" s="239" t="s">
        <v>37</v>
      </c>
      <c r="B5" s="29"/>
      <c r="C5" s="179" t="s">
        <v>196</v>
      </c>
      <c r="D5" s="29"/>
      <c r="E5" s="29"/>
      <c r="F5" s="29"/>
      <c r="G5" s="29"/>
      <c r="H5" s="29"/>
      <c r="I5" s="29"/>
      <c r="J5" s="29"/>
      <c r="K5" s="2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22" customHeight="1">
      <c r="A6" s="239"/>
      <c r="B6" s="29"/>
      <c r="C6" s="180" t="s">
        <v>197</v>
      </c>
      <c r="D6" s="29"/>
      <c r="E6" s="29"/>
      <c r="F6" s="29"/>
      <c r="G6" s="29"/>
      <c r="H6" s="29"/>
      <c r="I6" s="29"/>
      <c r="J6" s="29"/>
      <c r="K6" s="29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15" customHeight="1">
      <c r="A7" s="239"/>
      <c r="B7" s="29"/>
      <c r="C7" s="180" t="s">
        <v>207</v>
      </c>
      <c r="D7" s="29"/>
      <c r="E7" s="29"/>
      <c r="F7" s="29"/>
      <c r="G7" s="29"/>
      <c r="H7" s="29"/>
      <c r="I7" s="29"/>
      <c r="J7" s="29"/>
      <c r="K7" s="2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16" customHeight="1">
      <c r="A8" s="239"/>
      <c r="B8" s="29"/>
      <c r="C8" s="29"/>
      <c r="D8" s="29"/>
      <c r="E8" s="29"/>
      <c r="F8" s="29"/>
      <c r="G8" s="29"/>
      <c r="H8" s="29"/>
      <c r="I8" s="29"/>
      <c r="J8" s="29"/>
      <c r="K8" s="2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15" customHeight="1">
      <c r="A9" s="239"/>
      <c r="B9" s="29"/>
      <c r="C9" s="181"/>
      <c r="D9" s="245" t="s">
        <v>198</v>
      </c>
      <c r="E9" s="245"/>
      <c r="F9" s="245"/>
      <c r="G9" s="29"/>
      <c r="H9" s="245" t="s">
        <v>199</v>
      </c>
      <c r="I9" s="245"/>
      <c r="J9" s="245"/>
      <c r="K9" s="2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9" customHeight="1" thickBot="1">
      <c r="A10" s="239"/>
      <c r="B10" s="29"/>
      <c r="C10" s="29"/>
      <c r="D10" s="16" t="s">
        <v>204</v>
      </c>
      <c r="E10" s="16" t="s">
        <v>205</v>
      </c>
      <c r="F10" s="17" t="s">
        <v>206</v>
      </c>
      <c r="G10" s="213"/>
      <c r="H10" s="17" t="s">
        <v>208</v>
      </c>
      <c r="I10" s="16" t="s">
        <v>205</v>
      </c>
      <c r="J10" s="142" t="s">
        <v>206</v>
      </c>
      <c r="K10" s="29"/>
      <c r="L10" s="8"/>
      <c r="M10" s="19" t="s">
        <v>219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15" customHeight="1" thickBot="1">
      <c r="A11" s="239"/>
      <c r="B11" s="29"/>
      <c r="C11" s="15" t="s">
        <v>200</v>
      </c>
      <c r="D11" s="146">
        <v>100</v>
      </c>
      <c r="E11" s="70">
        <f>D11*(P22/100)</f>
        <v>7.7909999999999995</v>
      </c>
      <c r="F11" s="70">
        <f>D11*(R22/100)</f>
        <v>11.200000000000001</v>
      </c>
      <c r="G11" s="154"/>
      <c r="H11" s="146">
        <v>56</v>
      </c>
      <c r="I11" s="70">
        <f>H11*H22</f>
        <v>82.32</v>
      </c>
      <c r="J11" s="70">
        <f>H11*M22</f>
        <v>118.33962264150944</v>
      </c>
      <c r="K11" s="29"/>
      <c r="L11" s="8"/>
      <c r="M11" s="58" t="s">
        <v>186</v>
      </c>
      <c r="N11" s="145">
        <v>250</v>
      </c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15" customHeight="1" thickBot="1">
      <c r="A12" s="239"/>
      <c r="B12" s="29"/>
      <c r="C12" s="15" t="s">
        <v>8</v>
      </c>
      <c r="D12" s="146">
        <v>100</v>
      </c>
      <c r="E12" s="70">
        <f>D12*(P23/100)</f>
        <v>7.3669999999999982</v>
      </c>
      <c r="F12" s="70">
        <f>D12*(R23/100)</f>
        <v>13.100000000000001</v>
      </c>
      <c r="G12" s="154"/>
      <c r="H12" s="146">
        <v>10</v>
      </c>
      <c r="I12" s="70">
        <f>H12*H23</f>
        <v>13.899999999999999</v>
      </c>
      <c r="J12" s="70">
        <f>H12*M23</f>
        <v>24.716981132075475</v>
      </c>
      <c r="K12" s="29"/>
      <c r="L12" s="8"/>
      <c r="M12" s="196" t="s">
        <v>187</v>
      </c>
      <c r="N12" s="147">
        <v>250</v>
      </c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15" customHeight="1" thickBot="1">
      <c r="A13" s="239"/>
      <c r="B13" s="29"/>
      <c r="C13" s="15" t="s">
        <v>201</v>
      </c>
      <c r="D13" s="146">
        <v>100</v>
      </c>
      <c r="E13" s="70">
        <f>D13*(P24/100)</f>
        <v>2.1059999999999999</v>
      </c>
      <c r="F13" s="70">
        <f>D13*(R24/100)</f>
        <v>0.3</v>
      </c>
      <c r="G13" s="154"/>
      <c r="H13" s="146">
        <v>10</v>
      </c>
      <c r="I13" s="70">
        <f>H13*I24</f>
        <v>1.3</v>
      </c>
      <c r="J13" s="70">
        <f>H13*M24</f>
        <v>0.18518518518518517</v>
      </c>
      <c r="K13" s="29"/>
      <c r="L13" s="8"/>
      <c r="M13" s="58" t="s">
        <v>188</v>
      </c>
      <c r="N13" s="148">
        <v>250</v>
      </c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5" customHeight="1" thickBot="1">
      <c r="A14" s="239"/>
      <c r="B14" s="29"/>
      <c r="C14" s="15" t="s">
        <v>202</v>
      </c>
      <c r="D14" s="146">
        <v>100</v>
      </c>
      <c r="E14" s="70">
        <f>D14*(P27/100)</f>
        <v>8.2080000000000002</v>
      </c>
      <c r="F14" s="70">
        <f>D14*(R27/100)</f>
        <v>10.6</v>
      </c>
      <c r="G14" s="154"/>
      <c r="H14" s="146">
        <v>10</v>
      </c>
      <c r="I14" s="70">
        <f>H14*J27</f>
        <v>21.6</v>
      </c>
      <c r="J14" s="70">
        <f>H14*M27</f>
        <v>27.89473684210526</v>
      </c>
      <c r="K14" s="2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15" customHeight="1" thickBot="1">
      <c r="A15" s="239"/>
      <c r="B15" s="29"/>
      <c r="C15" s="15" t="s">
        <v>203</v>
      </c>
      <c r="D15" s="146">
        <v>100</v>
      </c>
      <c r="E15" s="70">
        <f>D15*(P28/100)</f>
        <v>6.5360000000000005</v>
      </c>
      <c r="F15" s="70">
        <f>D15*(R28/100)</f>
        <v>10.6</v>
      </c>
      <c r="G15" s="154"/>
      <c r="H15" s="146">
        <v>10</v>
      </c>
      <c r="I15" s="70">
        <f>H15*J28</f>
        <v>17.2</v>
      </c>
      <c r="J15" s="70">
        <f>H15*M28</f>
        <v>27.89473684210526</v>
      </c>
      <c r="K15" s="2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4" customHeight="1">
      <c r="A16" s="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6">
      <c r="A18" s="8"/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22">
      <c r="A19" s="8"/>
      <c r="B19" s="8"/>
      <c r="C19" s="100" t="s">
        <v>209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31" t="s">
        <v>215</v>
      </c>
      <c r="P19" s="130"/>
      <c r="Q19" s="130"/>
      <c r="R19" s="130"/>
      <c r="S19" s="29"/>
      <c r="T19" s="8"/>
      <c r="U19" s="8"/>
      <c r="V19" s="8"/>
      <c r="W19" s="8"/>
      <c r="X19" s="8"/>
    </row>
    <row r="20" spans="1:24" ht="24" customHeight="1">
      <c r="A20" s="8"/>
      <c r="B20" s="8"/>
      <c r="C20" s="8"/>
      <c r="D20" s="246" t="s">
        <v>212</v>
      </c>
      <c r="E20" s="246"/>
      <c r="F20" s="246"/>
      <c r="G20" s="14"/>
      <c r="H20" s="246" t="s">
        <v>213</v>
      </c>
      <c r="I20" s="246"/>
      <c r="J20" s="246"/>
      <c r="K20" s="14"/>
      <c r="L20" s="244" t="s">
        <v>214</v>
      </c>
      <c r="M20" s="244"/>
      <c r="N20" s="8"/>
      <c r="O20" s="30"/>
      <c r="P20" s="29"/>
      <c r="Q20" s="29"/>
      <c r="R20" s="29"/>
      <c r="S20" s="29"/>
      <c r="T20" s="8"/>
      <c r="U20" s="8"/>
      <c r="V20" s="8"/>
      <c r="W20" s="8"/>
      <c r="X20" s="8"/>
    </row>
    <row r="21" spans="1:24" ht="31.5" customHeight="1" thickBot="1">
      <c r="A21" s="8"/>
      <c r="B21" s="8"/>
      <c r="C21" s="8"/>
      <c r="D21" s="16" t="s">
        <v>0</v>
      </c>
      <c r="E21" s="204" t="s">
        <v>3</v>
      </c>
      <c r="F21" s="16" t="s">
        <v>4</v>
      </c>
      <c r="G21" s="14"/>
      <c r="H21" s="16" t="s">
        <v>1</v>
      </c>
      <c r="I21" s="16" t="s">
        <v>5</v>
      </c>
      <c r="J21" s="16" t="s">
        <v>6</v>
      </c>
      <c r="K21" s="14"/>
      <c r="L21" s="17" t="s">
        <v>30</v>
      </c>
      <c r="M21" s="17" t="s">
        <v>10</v>
      </c>
      <c r="N21" s="14"/>
      <c r="O21" s="207"/>
      <c r="P21" s="141" t="s">
        <v>216</v>
      </c>
      <c r="Q21" s="141"/>
      <c r="R21" s="141" t="s">
        <v>217</v>
      </c>
      <c r="S21" s="29"/>
      <c r="T21" s="8"/>
      <c r="U21" s="8"/>
      <c r="V21" s="8"/>
      <c r="W21" s="8"/>
      <c r="X21" s="8"/>
    </row>
    <row r="22" spans="1:24" ht="15.75" customHeight="1" thickBot="1">
      <c r="A22" s="10"/>
      <c r="B22" s="10"/>
      <c r="C22" s="15" t="s">
        <v>200</v>
      </c>
      <c r="D22" s="139">
        <v>5.3</v>
      </c>
      <c r="E22" s="205" t="s">
        <v>7</v>
      </c>
      <c r="F22" s="132" t="s">
        <v>7</v>
      </c>
      <c r="G22" s="107"/>
      <c r="H22" s="210">
        <v>1.47</v>
      </c>
      <c r="I22" s="132" t="s">
        <v>7</v>
      </c>
      <c r="J22" s="132" t="s">
        <v>7</v>
      </c>
      <c r="K22" s="107"/>
      <c r="L22" s="135">
        <v>0.112</v>
      </c>
      <c r="M22" s="134">
        <f>L22 / (D22 / 100)</f>
        <v>2.1132075471698113</v>
      </c>
      <c r="N22" s="14"/>
      <c r="O22" s="15" t="s">
        <v>200</v>
      </c>
      <c r="P22" s="209">
        <f>D22*H22</f>
        <v>7.7909999999999995</v>
      </c>
      <c r="Q22" s="207" t="s">
        <v>9</v>
      </c>
      <c r="R22" s="137">
        <f t="shared" ref="R22:R28" si="0">100*L22</f>
        <v>11.200000000000001</v>
      </c>
      <c r="S22" s="30" t="s">
        <v>26</v>
      </c>
      <c r="T22" s="8"/>
      <c r="U22" s="8"/>
      <c r="V22" s="8"/>
      <c r="W22" s="8"/>
      <c r="X22" s="8"/>
    </row>
    <row r="23" spans="1:24" ht="15.75" customHeight="1" thickBot="1">
      <c r="A23" s="8"/>
      <c r="B23" s="8"/>
      <c r="C23" s="15" t="s">
        <v>8</v>
      </c>
      <c r="D23" s="139">
        <v>5.3</v>
      </c>
      <c r="E23" s="205" t="s">
        <v>7</v>
      </c>
      <c r="F23" s="132" t="s">
        <v>7</v>
      </c>
      <c r="G23" s="107"/>
      <c r="H23" s="210">
        <v>1.39</v>
      </c>
      <c r="I23" s="132" t="s">
        <v>7</v>
      </c>
      <c r="J23" s="132" t="s">
        <v>7</v>
      </c>
      <c r="K23" s="107"/>
      <c r="L23" s="135">
        <v>0.13100000000000001</v>
      </c>
      <c r="M23" s="134">
        <f>L23 / (D23 / 100)</f>
        <v>2.4716981132075473</v>
      </c>
      <c r="N23" s="14"/>
      <c r="O23" s="15" t="s">
        <v>8</v>
      </c>
      <c r="P23" s="209">
        <f>D23*H23</f>
        <v>7.3669999999999991</v>
      </c>
      <c r="Q23" s="207" t="s">
        <v>9</v>
      </c>
      <c r="R23" s="137">
        <f t="shared" si="0"/>
        <v>13.100000000000001</v>
      </c>
      <c r="S23" s="30" t="s">
        <v>26</v>
      </c>
      <c r="T23" s="8"/>
      <c r="U23" s="8"/>
      <c r="V23" s="8"/>
      <c r="W23" s="8"/>
      <c r="X23" s="8"/>
    </row>
    <row r="24" spans="1:24" ht="15.75" customHeight="1" thickBot="1">
      <c r="A24" s="8"/>
      <c r="B24" s="8"/>
      <c r="C24" s="15" t="s">
        <v>201</v>
      </c>
      <c r="D24" s="132" t="s">
        <v>7</v>
      </c>
      <c r="E24" s="206">
        <v>16.2</v>
      </c>
      <c r="F24" s="132" t="s">
        <v>7</v>
      </c>
      <c r="G24" s="107"/>
      <c r="H24" s="132" t="s">
        <v>7</v>
      </c>
      <c r="I24" s="210">
        <v>0.13</v>
      </c>
      <c r="J24" s="132" t="s">
        <v>7</v>
      </c>
      <c r="K24" s="107"/>
      <c r="L24" s="136">
        <v>3.0000000000000001E-3</v>
      </c>
      <c r="M24" s="134">
        <f>L24 / (E24 / 100)</f>
        <v>1.8518518518518517E-2</v>
      </c>
      <c r="N24" s="14"/>
      <c r="O24" s="15" t="s">
        <v>201</v>
      </c>
      <c r="P24" s="209">
        <f>E24*I24</f>
        <v>2.1059999999999999</v>
      </c>
      <c r="Q24" s="207" t="s">
        <v>9</v>
      </c>
      <c r="R24" s="138">
        <f t="shared" si="0"/>
        <v>0.3</v>
      </c>
      <c r="S24" s="30" t="s">
        <v>26</v>
      </c>
      <c r="T24" s="8"/>
      <c r="U24" s="8"/>
      <c r="V24" s="8"/>
      <c r="W24" s="8"/>
      <c r="X24" s="8"/>
    </row>
    <row r="25" spans="1:24" ht="15.75" customHeight="1">
      <c r="A25" s="8"/>
      <c r="B25" s="8"/>
      <c r="C25" s="15" t="s">
        <v>210</v>
      </c>
      <c r="D25" s="143">
        <f>0.5*D22</f>
        <v>2.65</v>
      </c>
      <c r="E25" s="211">
        <f>0.5*E24</f>
        <v>8.1</v>
      </c>
      <c r="F25" s="132" t="s">
        <v>7</v>
      </c>
      <c r="G25" s="107"/>
      <c r="H25" s="140">
        <f>H22</f>
        <v>1.47</v>
      </c>
      <c r="I25" s="140">
        <v>0.13</v>
      </c>
      <c r="J25" s="132"/>
      <c r="K25" s="107"/>
      <c r="L25" s="133">
        <f>0.5*L24+0.5*L22</f>
        <v>5.7500000000000002E-2</v>
      </c>
      <c r="M25" s="134">
        <f>0.5*M22</f>
        <v>1.0566037735849056</v>
      </c>
      <c r="N25" s="14"/>
      <c r="O25" s="15" t="s">
        <v>210</v>
      </c>
      <c r="P25" s="209">
        <f>(D25*H25)+(E25*I25)</f>
        <v>4.9484999999999992</v>
      </c>
      <c r="Q25" s="207" t="s">
        <v>9</v>
      </c>
      <c r="R25" s="137">
        <f t="shared" si="0"/>
        <v>5.75</v>
      </c>
      <c r="S25" s="30" t="s">
        <v>26</v>
      </c>
      <c r="T25" s="8"/>
      <c r="U25" s="8"/>
      <c r="V25" s="8"/>
      <c r="W25" s="8"/>
      <c r="X25" s="8"/>
    </row>
    <row r="26" spans="1:24" ht="15.75" customHeight="1">
      <c r="A26" s="8"/>
      <c r="B26" s="8"/>
      <c r="C26" s="15" t="s">
        <v>211</v>
      </c>
      <c r="D26" s="143">
        <f>0.5*D23</f>
        <v>2.65</v>
      </c>
      <c r="E26" s="211">
        <f>0.5*E24</f>
        <v>8.1</v>
      </c>
      <c r="F26" s="132" t="s">
        <v>7</v>
      </c>
      <c r="G26" s="107"/>
      <c r="H26" s="140">
        <f>H23</f>
        <v>1.39</v>
      </c>
      <c r="I26" s="140">
        <v>0.13</v>
      </c>
      <c r="J26" s="132" t="s">
        <v>7</v>
      </c>
      <c r="K26" s="107"/>
      <c r="L26" s="134">
        <f>0.5*L24+0.5*L23</f>
        <v>6.7000000000000004E-2</v>
      </c>
      <c r="M26" s="134">
        <f>0.5*M23</f>
        <v>1.2358490566037736</v>
      </c>
      <c r="N26" s="208"/>
      <c r="O26" s="15" t="s">
        <v>211</v>
      </c>
      <c r="P26" s="209">
        <f>(D26*H26)+(E26*I26)</f>
        <v>4.7364999999999995</v>
      </c>
      <c r="Q26" s="207" t="s">
        <v>9</v>
      </c>
      <c r="R26" s="138">
        <f t="shared" si="0"/>
        <v>6.7</v>
      </c>
      <c r="S26" s="30" t="s">
        <v>26</v>
      </c>
      <c r="T26" s="8"/>
      <c r="U26" s="8"/>
      <c r="V26" s="8"/>
      <c r="W26" s="8"/>
      <c r="X26" s="8"/>
    </row>
    <row r="27" spans="1:24" ht="15.75" customHeight="1">
      <c r="A27" s="8"/>
      <c r="B27" s="8"/>
      <c r="C27" s="15" t="s">
        <v>202</v>
      </c>
      <c r="D27" s="132" t="s">
        <v>7</v>
      </c>
      <c r="E27" s="205" t="s">
        <v>7</v>
      </c>
      <c r="F27" s="212">
        <v>3.8</v>
      </c>
      <c r="G27" s="107"/>
      <c r="H27" s="132" t="s">
        <v>7</v>
      </c>
      <c r="I27" s="132" t="s">
        <v>7</v>
      </c>
      <c r="J27" s="210">
        <v>2.16</v>
      </c>
      <c r="K27" s="107"/>
      <c r="L27" s="34">
        <v>0.106</v>
      </c>
      <c r="M27" s="134">
        <f>L27 / (F27 / 100)</f>
        <v>2.7894736842105261</v>
      </c>
      <c r="N27" s="14"/>
      <c r="O27" s="15" t="s">
        <v>202</v>
      </c>
      <c r="P27" s="209">
        <f>F27*J27</f>
        <v>8.2080000000000002</v>
      </c>
      <c r="Q27" s="207" t="s">
        <v>9</v>
      </c>
      <c r="R27" s="137">
        <f t="shared" si="0"/>
        <v>10.6</v>
      </c>
      <c r="S27" s="30" t="s">
        <v>26</v>
      </c>
      <c r="T27" s="8"/>
      <c r="U27" s="8"/>
      <c r="V27" s="8"/>
      <c r="W27" s="8"/>
      <c r="X27" s="8"/>
    </row>
    <row r="28" spans="1:24" ht="15.75" customHeight="1">
      <c r="A28" s="8"/>
      <c r="B28" s="8"/>
      <c r="C28" s="15" t="s">
        <v>203</v>
      </c>
      <c r="D28" s="132" t="s">
        <v>7</v>
      </c>
      <c r="E28" s="205" t="s">
        <v>7</v>
      </c>
      <c r="F28" s="212">
        <v>3.8</v>
      </c>
      <c r="G28" s="107"/>
      <c r="H28" s="132" t="s">
        <v>7</v>
      </c>
      <c r="I28" s="132" t="s">
        <v>7</v>
      </c>
      <c r="J28" s="210">
        <v>1.72</v>
      </c>
      <c r="K28" s="107"/>
      <c r="L28" s="34">
        <v>0.106</v>
      </c>
      <c r="M28" s="134">
        <f>L28 / (F28 / 100)</f>
        <v>2.7894736842105261</v>
      </c>
      <c r="N28" s="14"/>
      <c r="O28" s="15" t="s">
        <v>203</v>
      </c>
      <c r="P28" s="209">
        <f>F28*J28</f>
        <v>6.5359999999999996</v>
      </c>
      <c r="Q28" s="207" t="s">
        <v>9</v>
      </c>
      <c r="R28" s="137">
        <f t="shared" si="0"/>
        <v>10.6</v>
      </c>
      <c r="S28" s="30" t="s">
        <v>26</v>
      </c>
      <c r="T28" s="8"/>
      <c r="U28" s="8"/>
      <c r="V28" s="8"/>
      <c r="W28" s="8"/>
      <c r="X28" s="8"/>
    </row>
    <row r="29" spans="1:24" ht="15.75" customHeight="1">
      <c r="A29" s="8"/>
      <c r="B29" s="8"/>
      <c r="C29" s="8"/>
      <c r="D29" s="8"/>
      <c r="E29" s="8"/>
      <c r="F29" s="14"/>
      <c r="G29" s="14"/>
      <c r="H29" s="14"/>
      <c r="I29" s="8"/>
      <c r="J29" s="14"/>
      <c r="K29" s="14"/>
      <c r="L29" s="14"/>
      <c r="M29" s="8"/>
      <c r="N29" s="8"/>
      <c r="O29" s="29"/>
      <c r="P29" s="29"/>
      <c r="Q29" s="29"/>
      <c r="R29" s="29"/>
      <c r="S29" s="30"/>
      <c r="T29" s="8"/>
      <c r="U29" s="8"/>
      <c r="V29" s="8"/>
      <c r="W29" s="8"/>
      <c r="X29" s="8"/>
    </row>
    <row r="30" spans="1:24" ht="29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32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5.75" customHeight="1"/>
    <row r="38" spans="1:24" ht="15.75" customHeight="1"/>
    <row r="39" spans="1:24" ht="15.75" customHeight="1"/>
    <row r="40" spans="1:24" ht="15.75" customHeight="1"/>
    <row r="41" spans="1:24" ht="15.75" customHeight="1"/>
    <row r="42" spans="1:24" ht="15.75" customHeight="1"/>
    <row r="43" spans="1:24" ht="15.75" customHeight="1"/>
    <row r="44" spans="1:24" ht="15.75" customHeight="1"/>
    <row r="45" spans="1:24" ht="15.75" customHeight="1"/>
    <row r="46" spans="1:24" ht="15.75" customHeight="1"/>
    <row r="47" spans="1:24" ht="15.75" customHeight="1"/>
    <row r="48" spans="1:2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</sheetData>
  <sheetProtection sheet="1" objects="1" scenarios="1"/>
  <mergeCells count="6">
    <mergeCell ref="A5:A15"/>
    <mergeCell ref="L20:M20"/>
    <mergeCell ref="D9:F9"/>
    <mergeCell ref="H9:J9"/>
    <mergeCell ref="D20:F20"/>
    <mergeCell ref="H20:J20"/>
  </mergeCells>
  <pageMargins left="0.7" right="0.7" top="0.75" bottom="0.75" header="0" footer="0"/>
  <pageSetup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beaf00-6e7e-4257-9050-d829c0f8b593" xsi:nil="true"/>
    <lcf76f155ced4ddcb4097134ff3c332f xmlns="80c47d9f-47d4-47c3-bb1c-ec84b5b2e3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93B75EE89994AA5F4B67E1894B20B" ma:contentTypeVersion="18" ma:contentTypeDescription="Create a new document." ma:contentTypeScope="" ma:versionID="ca86ec9004b2403e7bc13d7adf04a0d5">
  <xsd:schema xmlns:xsd="http://www.w3.org/2001/XMLSchema" xmlns:xs="http://www.w3.org/2001/XMLSchema" xmlns:p="http://schemas.microsoft.com/office/2006/metadata/properties" xmlns:ns2="80c47d9f-47d4-47c3-bb1c-ec84b5b2e374" xmlns:ns3="a0beaf00-6e7e-4257-9050-d829c0f8b593" targetNamespace="http://schemas.microsoft.com/office/2006/metadata/properties" ma:root="true" ma:fieldsID="2966397001f2c164f7a28f17f2c18a95" ns2:_="" ns3:_="">
    <xsd:import namespace="80c47d9f-47d4-47c3-bb1c-ec84b5b2e374"/>
    <xsd:import namespace="a0beaf00-6e7e-4257-9050-d829c0f8b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47d9f-47d4-47c3-bb1c-ec84b5b2e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899e68-d333-43ac-8fd6-a95aa6fb19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eaf00-6e7e-4257-9050-d829c0f8b59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dcd7865-61c9-4a8b-8ce0-7301efe012c9}" ma:internalName="TaxCatchAll" ma:showField="CatchAllData" ma:web="a0beaf00-6e7e-4257-9050-d829c0f8b5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204511-FE80-444A-AC35-25FB213F4264}">
  <ds:schemaRefs>
    <ds:schemaRef ds:uri="http://schemas.microsoft.com/office/2006/metadata/properties"/>
    <ds:schemaRef ds:uri="http://schemas.microsoft.com/office/infopath/2007/PartnerControls"/>
    <ds:schemaRef ds:uri="a0beaf00-6e7e-4257-9050-d829c0f8b593"/>
    <ds:schemaRef ds:uri="80c47d9f-47d4-47c3-bb1c-ec84b5b2e374"/>
  </ds:schemaRefs>
</ds:datastoreItem>
</file>

<file path=customXml/itemProps2.xml><?xml version="1.0" encoding="utf-8"?>
<ds:datastoreItem xmlns:ds="http://schemas.openxmlformats.org/officeDocument/2006/customXml" ds:itemID="{38AFEC58-DE95-4764-B1CE-6543FC16D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c47d9f-47d4-47c3-bb1c-ec84b5b2e374"/>
    <ds:schemaRef ds:uri="a0beaf00-6e7e-4257-9050-d829c0f8b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B0AF1B-902D-4D65-A143-05B994E5E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Front page, Instructions</vt:lpstr>
      <vt:lpstr>1 Idling</vt:lpstr>
      <vt:lpstr>2 Generators</vt:lpstr>
      <vt:lpstr>3 Flights</vt:lpstr>
      <vt:lpstr>4 Modes of transportation</vt:lpstr>
      <vt:lpstr>5 Driving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Puolanne</dc:creator>
  <cp:lastModifiedBy>Mene Creative</cp:lastModifiedBy>
  <dcterms:created xsi:type="dcterms:W3CDTF">2024-10-11T07:48:13Z</dcterms:created>
  <dcterms:modified xsi:type="dcterms:W3CDTF">2025-04-02T09:17:29Z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0x01010050793B75EE89994AA5F4B67E1894B20B</vt:lpwstr>
  </property>
</Properties>
</file>